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Patyutko\Downloads\"/>
    </mc:Choice>
  </mc:AlternateContent>
  <bookViews>
    <workbookView xWindow="0" yWindow="0" windowWidth="15240" windowHeight="10470" tabRatio="500" firstSheet="1" activeTab="1"/>
  </bookViews>
  <sheets>
    <sheet name="анкета" sheetId="1" state="hidden" r:id="rId1"/>
    <sheet name="описание" sheetId="2" r:id="rId2"/>
    <sheet name="справка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ВУЗ" sheetId="11" r:id="rId11"/>
    <sheet name="8" sheetId="12" r:id="rId12"/>
    <sheet name="9" sheetId="13" r:id="rId13"/>
    <sheet name="10" sheetId="14" r:id="rId14"/>
    <sheet name="11" sheetId="15" r:id="rId15"/>
    <sheet name="12" sheetId="16" r:id="rId16"/>
    <sheet name="13" sheetId="17" r:id="rId17"/>
    <sheet name="проверка" sheetId="18" r:id="rId18"/>
    <sheet name="свод  итог" sheetId="19" state="hidden" r:id="rId19"/>
  </sheets>
  <definedNames>
    <definedName name="__xlnm_Print_Area" localSheetId="13">'10'!$A$3:$E$10</definedName>
    <definedName name="__xlnm_Print_Area" localSheetId="14">'11'!$A$3:$E$11</definedName>
    <definedName name="__xlnm_Print_Area" localSheetId="15">'12'!$A$3:$E$27</definedName>
    <definedName name="__xlnm_Print_Area" localSheetId="16">'13'!$A$2:$E$6</definedName>
    <definedName name="__xlnm_Print_Area" localSheetId="4">'2'!$A$3:$E$15</definedName>
    <definedName name="__xlnm_Print_Area" localSheetId="5">'3'!$A$3:$E$23</definedName>
    <definedName name="__xlnm_Print_Area" localSheetId="7">'5'!$A$3:$E$50</definedName>
    <definedName name="__xlnm_Print_Area" localSheetId="8">'6'!$A$3:$E$12</definedName>
    <definedName name="__xlnm_Print_Area" localSheetId="9">'7'!$A$3:$E$14</definedName>
    <definedName name="__xlnm_Print_Area" localSheetId="11">'8'!$A$3:$E$10</definedName>
    <definedName name="__xlnm_Print_Area" localSheetId="12">'9'!$A$3:$E$13</definedName>
    <definedName name="__xlnm_Print_Area" localSheetId="0">анкета!$A$1:$E$208</definedName>
    <definedName name="__xlnm_Print_Area" localSheetId="10">ВУЗ!$A$3:$E$13</definedName>
    <definedName name="__xlnm_Print_Area" localSheetId="1">описание!$A$1:$A$1</definedName>
    <definedName name="__xlnm_Print_Area" localSheetId="17">проверка!$A$3:$E$9</definedName>
    <definedName name="__xlnm_Print_Area" localSheetId="2">справка!#REF!</definedName>
    <definedName name="Excel_BuiltIn_Print_Area" localSheetId="1">описание!$A$1:$A$1</definedName>
    <definedName name="Excel_BuiltIn_Print_Area" localSheetId="2">справка!#REF!</definedName>
    <definedName name="_xlnm.Print_Area" localSheetId="13">'10'!$A$1:$E$13</definedName>
    <definedName name="_xlnm.Print_Area" localSheetId="14">'11'!$A$1:$E$15</definedName>
    <definedName name="_xlnm.Print_Area" localSheetId="15">'12'!$A$1:$E$35</definedName>
    <definedName name="_xlnm.Print_Area" localSheetId="4">'2'!$A$1:$E$19</definedName>
    <definedName name="_xlnm.Print_Area" localSheetId="5">'3'!$A$1:$E$26</definedName>
    <definedName name="_xlnm.Print_Area" localSheetId="6">'4'!$A$1:$K$41</definedName>
    <definedName name="_xlnm.Print_Area" localSheetId="7">'5'!$A$1:$E$61</definedName>
    <definedName name="_xlnm.Print_Area" localSheetId="8">'6'!$A$1:$L$23</definedName>
    <definedName name="_xlnm.Print_Area" localSheetId="9">'7'!$A$1:$F$27</definedName>
    <definedName name="_xlnm.Print_Area" localSheetId="11">'8'!$A$1:$E$16</definedName>
    <definedName name="_xlnm.Print_Area" localSheetId="12">'9'!$A$1:$E$21</definedName>
    <definedName name="_xlnm.Print_Area" localSheetId="0">анкета!$A$1:$E$208</definedName>
    <definedName name="_xlnm.Print_Area" localSheetId="10">ВУЗ!$A$1:$E$18</definedName>
    <definedName name="_xlnm.Print_Area" localSheetId="1">описание!$A$1:$A$12</definedName>
    <definedName name="_xlnm.Print_Area" localSheetId="17">проверка!$A$1:$E$32</definedName>
    <definedName name="_xlnm.Print_Area" localSheetId="2">справка!$A$1:$A$16</definedName>
    <definedName name="воздействие">анкета!$F$76:$F$84</definedName>
    <definedName name="Выбор" localSheetId="4">'2'!$F$1:$F$2</definedName>
    <definedName name="Выбор" localSheetId="5">'3'!$F$1:$F$2</definedName>
    <definedName name="Выбор">анкета!$F$2:$F$4</definedName>
    <definedName name="выручка">анкета!$F$39:$F$44</definedName>
    <definedName name="геогр">анкета!$F$6:$F$8</definedName>
    <definedName name="динамика">'6'!$G$4:$G$8</definedName>
    <definedName name="динамика_лучше">анкета!$F$86:$F$90</definedName>
    <definedName name="значимость" localSheetId="6">'4'!$F$23:$F$25</definedName>
    <definedName name="значимость" localSheetId="9">'7'!$G$3:$G$10</definedName>
    <definedName name="значимость" localSheetId="10">ВУЗ!#REF!</definedName>
    <definedName name="значимость">анкета!$F$130:$F$135</definedName>
    <definedName name="Инвест2">анкета!$F$143:$F$149</definedName>
    <definedName name="ИНВЕСТИЦИИ" localSheetId="11">'8'!$F$3:$F$7</definedName>
    <definedName name="ИНВЕСТИЦИИ" localSheetId="10">ВУЗ!$G$11:$G$13</definedName>
    <definedName name="ИНВЕСТИЦИИ">анкета!$F$143:$F$149</definedName>
    <definedName name="модель">анкета!$F$48:$F$50</definedName>
    <definedName name="офис_долл">анкета!$F$17:$F$21</definedName>
    <definedName name="оценка">анкета!$F$184:$F$188</definedName>
    <definedName name="приоритет" localSheetId="14">'11'!$F$6:$F$12</definedName>
    <definedName name="приоритет">анкета!$F$175:$F$181</definedName>
    <definedName name="проц">анкета!$F$12:$F$15</definedName>
    <definedName name="Специализация" localSheetId="4">'2'!$F$4:$F$15</definedName>
    <definedName name="цена">анкета!$F$54:$F$56</definedName>
    <definedName name="Языки" localSheetId="7">'5'!$F$4:$F$13</definedName>
  </definedNames>
  <calcPr calcId="152511"/>
</workbook>
</file>

<file path=xl/calcChain.xml><?xml version="1.0" encoding="utf-8"?>
<calcChain xmlns="http://schemas.openxmlformats.org/spreadsheetml/2006/main">
  <c r="K4" i="4" l="1"/>
  <c r="M4" i="4" s="1"/>
  <c r="O4" i="4" s="1"/>
  <c r="K5" i="4"/>
  <c r="M5" i="4"/>
  <c r="O5" i="4" s="1"/>
  <c r="L5" i="4"/>
  <c r="K6" i="4"/>
  <c r="M6" i="4"/>
  <c r="O6" i="4" s="1"/>
  <c r="L6" i="4"/>
  <c r="K7" i="4"/>
  <c r="M7" i="4"/>
  <c r="O7" i="4" s="1"/>
  <c r="L7" i="4"/>
  <c r="K8" i="4"/>
  <c r="M8" i="4"/>
  <c r="O8" i="4" s="1"/>
  <c r="L8" i="4"/>
  <c r="K9" i="4"/>
  <c r="M9" i="4"/>
  <c r="O9" i="4" s="1"/>
  <c r="L9" i="4"/>
  <c r="K10" i="4"/>
  <c r="M10" i="4"/>
  <c r="O10" i="4" s="1"/>
  <c r="L10" i="4"/>
  <c r="K12" i="4"/>
  <c r="M12" i="4"/>
  <c r="O12" i="4" s="1"/>
  <c r="L12" i="4"/>
  <c r="K13" i="4"/>
  <c r="M13" i="4" s="1"/>
  <c r="O13" i="4" s="1"/>
  <c r="L13" i="4"/>
  <c r="G4" i="14"/>
  <c r="H4" i="14" s="1"/>
  <c r="G5" i="14"/>
  <c r="H5" i="14" s="1"/>
  <c r="G6" i="14"/>
  <c r="H6" i="14" s="1"/>
  <c r="G7" i="14"/>
  <c r="H7" i="14" s="1"/>
  <c r="G8" i="14"/>
  <c r="H8" i="14" s="1"/>
  <c r="G9" i="14"/>
  <c r="H9" i="14" s="1"/>
  <c r="F10" i="14"/>
  <c r="G10" i="14" s="1"/>
  <c r="K4" i="15"/>
  <c r="A14" i="15" s="1"/>
  <c r="F14" i="15" s="1"/>
  <c r="H6" i="15"/>
  <c r="G6" i="15" s="1"/>
  <c r="K6" i="15" s="1"/>
  <c r="A15" i="15" s="1"/>
  <c r="F15" i="15" s="1"/>
  <c r="F7" i="15"/>
  <c r="H7" i="15"/>
  <c r="F8" i="15"/>
  <c r="H8" i="15"/>
  <c r="F9" i="15"/>
  <c r="H9" i="15"/>
  <c r="F10" i="15"/>
  <c r="H10" i="15"/>
  <c r="F11" i="15"/>
  <c r="H11" i="15"/>
  <c r="K11" i="15" s="1"/>
  <c r="F12" i="15"/>
  <c r="K4" i="16"/>
  <c r="A30" i="16" s="1"/>
  <c r="F30" i="16" s="1"/>
  <c r="K5" i="16"/>
  <c r="A31" i="16" s="1"/>
  <c r="F31" i="16" s="1"/>
  <c r="K6" i="16"/>
  <c r="A32" i="16" s="1"/>
  <c r="H7" i="16"/>
  <c r="G7" i="16" s="1"/>
  <c r="K7" i="16" s="1"/>
  <c r="A33" i="16" s="1"/>
  <c r="F33" i="16" s="1"/>
  <c r="H8" i="16"/>
  <c r="H9" i="16"/>
  <c r="H10" i="16"/>
  <c r="H11" i="16"/>
  <c r="H12" i="16"/>
  <c r="H13" i="16"/>
  <c r="H14" i="16"/>
  <c r="H15" i="16"/>
  <c r="H16" i="16"/>
  <c r="H17" i="16"/>
  <c r="G15" i="16"/>
  <c r="K15" i="16" s="1"/>
  <c r="A34" i="16" s="1"/>
  <c r="F34" i="16" s="1"/>
  <c r="H18" i="16"/>
  <c r="H19" i="16"/>
  <c r="H20" i="16"/>
  <c r="H21" i="16"/>
  <c r="H22" i="16"/>
  <c r="H24" i="16"/>
  <c r="H25" i="16"/>
  <c r="H26" i="16"/>
  <c r="H27" i="16"/>
  <c r="F32" i="16"/>
  <c r="H2" i="17"/>
  <c r="K2" i="17"/>
  <c r="H3" i="17"/>
  <c r="K3" i="17"/>
  <c r="F4" i="17"/>
  <c r="A4" i="17" s="1"/>
  <c r="K4" i="17"/>
  <c r="B8" i="17"/>
  <c r="H3" i="5"/>
  <c r="H4" i="5"/>
  <c r="F5" i="5"/>
  <c r="H5" i="5"/>
  <c r="F6" i="5"/>
  <c r="H6" i="5"/>
  <c r="F7" i="5"/>
  <c r="H7" i="5"/>
  <c r="F8" i="5"/>
  <c r="H8" i="5"/>
  <c r="F9" i="5"/>
  <c r="H9" i="5"/>
  <c r="F10" i="5"/>
  <c r="H10" i="5"/>
  <c r="F11" i="5"/>
  <c r="H11" i="5"/>
  <c r="F12" i="5"/>
  <c r="H12" i="5"/>
  <c r="F13" i="5"/>
  <c r="I13" i="5"/>
  <c r="H13" i="5" s="1"/>
  <c r="K13" i="5" s="1"/>
  <c r="A18" i="5" s="1"/>
  <c r="F18" i="5" s="1"/>
  <c r="J13" i="5"/>
  <c r="F14" i="5"/>
  <c r="H14" i="5"/>
  <c r="K14" i="5"/>
  <c r="A19" i="5" s="1"/>
  <c r="F19" i="5" s="1"/>
  <c r="F15" i="5"/>
  <c r="H3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I22" i="6"/>
  <c r="H22" i="6" s="1"/>
  <c r="K22" i="6" s="1"/>
  <c r="A26" i="6" s="1"/>
  <c r="F26" i="6" s="1"/>
  <c r="J22" i="6"/>
  <c r="H7" i="7"/>
  <c r="I7" i="7"/>
  <c r="J7" i="7"/>
  <c r="H8" i="7"/>
  <c r="I8" i="7"/>
  <c r="J8" i="7"/>
  <c r="G13" i="7"/>
  <c r="H9" i="7"/>
  <c r="G8" i="7"/>
  <c r="I9" i="7"/>
  <c r="J9" i="7"/>
  <c r="H10" i="7"/>
  <c r="I10" i="7"/>
  <c r="G11" i="7" s="1"/>
  <c r="J10" i="7"/>
  <c r="H11" i="7"/>
  <c r="I11" i="7"/>
  <c r="J11" i="7"/>
  <c r="H12" i="7"/>
  <c r="I12" i="7"/>
  <c r="J12" i="7"/>
  <c r="H13" i="7"/>
  <c r="I13" i="7"/>
  <c r="J13" i="7"/>
  <c r="H14" i="7"/>
  <c r="I14" i="7"/>
  <c r="J14" i="7"/>
  <c r="H15" i="7"/>
  <c r="I15" i="7"/>
  <c r="J15" i="7"/>
  <c r="H16" i="7"/>
  <c r="I16" i="7"/>
  <c r="J16" i="7"/>
  <c r="H17" i="7"/>
  <c r="I17" i="7"/>
  <c r="J17" i="7"/>
  <c r="H18" i="7"/>
  <c r="I18" i="7"/>
  <c r="J18" i="7"/>
  <c r="H19" i="7"/>
  <c r="I19" i="7"/>
  <c r="J19" i="7"/>
  <c r="H20" i="7"/>
  <c r="I20" i="7"/>
  <c r="J20" i="7"/>
  <c r="H21" i="7"/>
  <c r="I21" i="7"/>
  <c r="J21" i="7"/>
  <c r="H24" i="7"/>
  <c r="I24" i="7"/>
  <c r="G27" i="7" s="1"/>
  <c r="J24" i="7"/>
  <c r="H25" i="7"/>
  <c r="I25" i="7"/>
  <c r="J25" i="7"/>
  <c r="H26" i="7"/>
  <c r="I26" i="7"/>
  <c r="J26" i="7"/>
  <c r="H27" i="7"/>
  <c r="I27" i="7"/>
  <c r="J27" i="7"/>
  <c r="H28" i="7"/>
  <c r="I28" i="7"/>
  <c r="J28" i="7"/>
  <c r="H29" i="7"/>
  <c r="I29" i="7"/>
  <c r="J29" i="7"/>
  <c r="H30" i="7"/>
  <c r="I30" i="7"/>
  <c r="J30" i="7"/>
  <c r="H31" i="7"/>
  <c r="I31" i="7"/>
  <c r="J31" i="7"/>
  <c r="H32" i="7"/>
  <c r="I32" i="7"/>
  <c r="J32" i="7"/>
  <c r="H33" i="7"/>
  <c r="I33" i="7"/>
  <c r="J33" i="7"/>
  <c r="G29" i="7"/>
  <c r="H34" i="7"/>
  <c r="I34" i="7"/>
  <c r="J34" i="7"/>
  <c r="H35" i="7"/>
  <c r="I35" i="7"/>
  <c r="J35" i="7"/>
  <c r="H36" i="7"/>
  <c r="I36" i="7"/>
  <c r="J36" i="7"/>
  <c r="H37" i="7"/>
  <c r="I37" i="7"/>
  <c r="J37" i="7"/>
  <c r="H4" i="8"/>
  <c r="I4" i="8" s="1"/>
  <c r="K4" i="8" s="1"/>
  <c r="A53" i="8"/>
  <c r="F53" i="8" s="1"/>
  <c r="H5" i="8"/>
  <c r="F6" i="8"/>
  <c r="H6" i="8"/>
  <c r="F7" i="8"/>
  <c r="H7" i="8"/>
  <c r="F8" i="8"/>
  <c r="H8" i="8"/>
  <c r="F9" i="8"/>
  <c r="H9" i="8"/>
  <c r="F10" i="8"/>
  <c r="H10" i="8"/>
  <c r="F11" i="8"/>
  <c r="H11" i="8"/>
  <c r="F12" i="8"/>
  <c r="H12" i="8"/>
  <c r="F13" i="8"/>
  <c r="H13" i="8"/>
  <c r="I14" i="8"/>
  <c r="H14" i="8"/>
  <c r="K14" i="8" s="1"/>
  <c r="A55" i="8" s="1"/>
  <c r="F55" i="8" s="1"/>
  <c r="J14" i="8"/>
  <c r="H15" i="8"/>
  <c r="H16" i="8"/>
  <c r="H17" i="8"/>
  <c r="H18" i="8"/>
  <c r="H19" i="8"/>
  <c r="H20" i="8"/>
  <c r="I21" i="8"/>
  <c r="H21" i="8"/>
  <c r="K21" i="8" s="1"/>
  <c r="A57" i="8" s="1"/>
  <c r="F57" i="8" s="1"/>
  <c r="J21" i="8"/>
  <c r="H22" i="8"/>
  <c r="H23" i="8"/>
  <c r="G23" i="8" s="1"/>
  <c r="K23" i="8" s="1"/>
  <c r="A58" i="8" s="1"/>
  <c r="F58" i="8" s="1"/>
  <c r="H24" i="8"/>
  <c r="H25" i="8"/>
  <c r="H26" i="8"/>
  <c r="H27" i="8"/>
  <c r="H28" i="8"/>
  <c r="H29" i="8"/>
  <c r="H30" i="8"/>
  <c r="H31" i="8"/>
  <c r="H32" i="8"/>
  <c r="I33" i="8"/>
  <c r="H33" i="8" s="1"/>
  <c r="K33" i="8" s="1"/>
  <c r="A59" i="8" s="1"/>
  <c r="F59" i="8"/>
  <c r="J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I50" i="8"/>
  <c r="H50" i="8" s="1"/>
  <c r="K50" i="8"/>
  <c r="A61" i="8" s="1"/>
  <c r="F61" i="8" s="1"/>
  <c r="J50" i="8"/>
  <c r="C4" i="9"/>
  <c r="I4" i="9"/>
  <c r="C5" i="9"/>
  <c r="I5" i="9"/>
  <c r="C6" i="9"/>
  <c r="I6" i="9"/>
  <c r="C7" i="9"/>
  <c r="I7" i="9"/>
  <c r="J7" i="9"/>
  <c r="C8" i="9"/>
  <c r="I8" i="9"/>
  <c r="C9" i="9"/>
  <c r="I9" i="9"/>
  <c r="J10" i="9"/>
  <c r="G10" i="9" s="1"/>
  <c r="I11" i="9"/>
  <c r="J4" i="9"/>
  <c r="G16" i="9" s="1"/>
  <c r="I12" i="9"/>
  <c r="A22" i="9" s="1"/>
  <c r="F22" i="9" s="1"/>
  <c r="J12" i="9"/>
  <c r="I13" i="9"/>
  <c r="G17" i="9"/>
  <c r="G18" i="9"/>
  <c r="G19" i="9"/>
  <c r="A19" i="9" s="1"/>
  <c r="F19" i="9" s="1"/>
  <c r="A20" i="9"/>
  <c r="F20" i="9" s="1"/>
  <c r="G20" i="9"/>
  <c r="G21" i="9"/>
  <c r="A21" i="9" s="1"/>
  <c r="F21" i="9" s="1"/>
  <c r="A23" i="9"/>
  <c r="F23" i="9" s="1"/>
  <c r="G23" i="9"/>
  <c r="L4" i="10"/>
  <c r="L5" i="10"/>
  <c r="A18" i="10" s="1"/>
  <c r="G18" i="10" s="1"/>
  <c r="L6" i="10"/>
  <c r="A19" i="10" s="1"/>
  <c r="L7" i="10"/>
  <c r="H8" i="10"/>
  <c r="I8" i="10"/>
  <c r="L8" i="10" s="1"/>
  <c r="A21" i="10" s="1"/>
  <c r="G21" i="10" s="1"/>
  <c r="J8" i="10"/>
  <c r="L9" i="10"/>
  <c r="A22" i="10" s="1"/>
  <c r="L10" i="10"/>
  <c r="H11" i="10"/>
  <c r="I11" i="10"/>
  <c r="L11" i="10" s="1"/>
  <c r="A24" i="10" s="1"/>
  <c r="G24" i="10" s="1"/>
  <c r="J11" i="10"/>
  <c r="H12" i="10"/>
  <c r="I12" i="10"/>
  <c r="L12" i="10" s="1"/>
  <c r="J12" i="10"/>
  <c r="A25" i="10"/>
  <c r="G25" i="10" s="1"/>
  <c r="A16" i="10" s="1"/>
  <c r="L13" i="10"/>
  <c r="L14" i="10"/>
  <c r="A27" i="10" s="1"/>
  <c r="G27" i="10" s="1"/>
  <c r="A17" i="10"/>
  <c r="G17" i="10" s="1"/>
  <c r="G19" i="10"/>
  <c r="A20" i="10"/>
  <c r="G20" i="10"/>
  <c r="G22" i="10"/>
  <c r="A23" i="10"/>
  <c r="G23" i="10"/>
  <c r="A26" i="10"/>
  <c r="G26" i="10"/>
  <c r="K4" i="12"/>
  <c r="A13" i="12"/>
  <c r="G13" i="12" s="1"/>
  <c r="G6" i="12"/>
  <c r="H6" i="12"/>
  <c r="I6" i="12"/>
  <c r="K6" i="12"/>
  <c r="A14" i="12" s="1"/>
  <c r="G7" i="12"/>
  <c r="H7" i="12"/>
  <c r="I7" i="12"/>
  <c r="K7" i="12"/>
  <c r="A15" i="12"/>
  <c r="G15" i="12" s="1"/>
  <c r="G8" i="12"/>
  <c r="K8" i="12" s="1"/>
  <c r="A16" i="12" s="1"/>
  <c r="G16" i="12" s="1"/>
  <c r="H8" i="12"/>
  <c r="H9" i="12"/>
  <c r="H10" i="12"/>
  <c r="G14" i="12"/>
  <c r="K4" i="13"/>
  <c r="A17" i="13"/>
  <c r="F17" i="13" s="1"/>
  <c r="G5" i="13"/>
  <c r="H5" i="13"/>
  <c r="K5" i="13" s="1"/>
  <c r="A18" i="13" s="1"/>
  <c r="I5" i="13"/>
  <c r="G6" i="13"/>
  <c r="H6" i="13"/>
  <c r="K6" i="13" s="1"/>
  <c r="A19" i="13" s="1"/>
  <c r="I6" i="13"/>
  <c r="F19" i="13"/>
  <c r="F13" i="13"/>
  <c r="F18" i="13"/>
  <c r="K2" i="1"/>
  <c r="M2" i="1"/>
  <c r="O2" i="1" s="1"/>
  <c r="K3" i="1"/>
  <c r="M3" i="1" s="1"/>
  <c r="O3" i="1" s="1"/>
  <c r="L3" i="1"/>
  <c r="K4" i="1"/>
  <c r="M4" i="1" s="1"/>
  <c r="O4" i="1" s="1"/>
  <c r="L4" i="1"/>
  <c r="K5" i="1"/>
  <c r="L5" i="1"/>
  <c r="L6" i="1" s="1"/>
  <c r="L7" i="1" s="1"/>
  <c r="L8" i="1" s="1"/>
  <c r="M5" i="1"/>
  <c r="O5" i="1" s="1"/>
  <c r="K6" i="1"/>
  <c r="M6" i="1"/>
  <c r="O6" i="1" s="1"/>
  <c r="K7" i="1"/>
  <c r="M7" i="1" s="1"/>
  <c r="O7" i="1" s="1"/>
  <c r="K8" i="1"/>
  <c r="M8" i="1" s="1"/>
  <c r="O8" i="1" s="1"/>
  <c r="K10" i="1"/>
  <c r="L10" i="1"/>
  <c r="M10" i="1"/>
  <c r="O10" i="1" s="1"/>
  <c r="K11" i="1"/>
  <c r="M11" i="1"/>
  <c r="O11" i="1" s="1"/>
  <c r="H12" i="1"/>
  <c r="G13" i="1"/>
  <c r="O13" i="1"/>
  <c r="G14" i="1"/>
  <c r="O14" i="1"/>
  <c r="H15" i="1"/>
  <c r="M15" i="1"/>
  <c r="O15" i="1" s="1"/>
  <c r="H16" i="1"/>
  <c r="M16" i="1"/>
  <c r="O16" i="1"/>
  <c r="H17" i="1"/>
  <c r="M17" i="1"/>
  <c r="O17" i="1" s="1"/>
  <c r="H18" i="1"/>
  <c r="M18" i="1"/>
  <c r="O18" i="1" s="1"/>
  <c r="H19" i="1"/>
  <c r="M19" i="1"/>
  <c r="O19" i="1"/>
  <c r="H20" i="1"/>
  <c r="M20" i="1"/>
  <c r="O20" i="1"/>
  <c r="H21" i="1"/>
  <c r="M21" i="1"/>
  <c r="O21" i="1" s="1"/>
  <c r="H22" i="1"/>
  <c r="K22" i="1"/>
  <c r="M22" i="1"/>
  <c r="O22" i="1" s="1"/>
  <c r="K23" i="1"/>
  <c r="M23" i="1" s="1"/>
  <c r="O23" i="1" s="1"/>
  <c r="M24" i="1"/>
  <c r="O24" i="1"/>
  <c r="M25" i="1"/>
  <c r="O25" i="1"/>
  <c r="M26" i="1"/>
  <c r="O26" i="1" s="1"/>
  <c r="M27" i="1"/>
  <c r="O27" i="1"/>
  <c r="H28" i="1"/>
  <c r="I28" i="1"/>
  <c r="J28" i="1"/>
  <c r="H29" i="1"/>
  <c r="I29" i="1"/>
  <c r="J29" i="1"/>
  <c r="M29" i="1"/>
  <c r="O29" i="1"/>
  <c r="H30" i="1"/>
  <c r="I30" i="1"/>
  <c r="J30" i="1"/>
  <c r="M30" i="1"/>
  <c r="O30" i="1"/>
  <c r="H31" i="1"/>
  <c r="I31" i="1"/>
  <c r="J31" i="1"/>
  <c r="M31" i="1"/>
  <c r="O31" i="1" s="1"/>
  <c r="H32" i="1"/>
  <c r="I32" i="1"/>
  <c r="J32" i="1"/>
  <c r="M32" i="1"/>
  <c r="O32" i="1" s="1"/>
  <c r="H33" i="1"/>
  <c r="I33" i="1"/>
  <c r="J33" i="1"/>
  <c r="M33" i="1"/>
  <c r="O33" i="1"/>
  <c r="H34" i="1"/>
  <c r="I34" i="1"/>
  <c r="J34" i="1"/>
  <c r="M34" i="1"/>
  <c r="O34" i="1" s="1"/>
  <c r="H35" i="1"/>
  <c r="I35" i="1"/>
  <c r="J35" i="1"/>
  <c r="M35" i="1"/>
  <c r="O35" i="1"/>
  <c r="H36" i="1"/>
  <c r="I36" i="1"/>
  <c r="J36" i="1"/>
  <c r="M36" i="1"/>
  <c r="O36" i="1"/>
  <c r="H37" i="1"/>
  <c r="I37" i="1"/>
  <c r="J37" i="1"/>
  <c r="M37" i="1"/>
  <c r="O37" i="1"/>
  <c r="H38" i="1"/>
  <c r="I38" i="1"/>
  <c r="J38" i="1"/>
  <c r="M38" i="1"/>
  <c r="O38" i="1" s="1"/>
  <c r="H39" i="1"/>
  <c r="I39" i="1"/>
  <c r="J39" i="1"/>
  <c r="M39" i="1"/>
  <c r="O39" i="1"/>
  <c r="H40" i="1"/>
  <c r="I40" i="1"/>
  <c r="J40" i="1"/>
  <c r="G37" i="1" s="1"/>
  <c r="M40" i="1"/>
  <c r="O40" i="1" s="1"/>
  <c r="H41" i="1"/>
  <c r="I41" i="1"/>
  <c r="J41" i="1"/>
  <c r="M41" i="1"/>
  <c r="O41" i="1" s="1"/>
  <c r="H42" i="1"/>
  <c r="I42" i="1"/>
  <c r="J42" i="1"/>
  <c r="M42" i="1"/>
  <c r="O42" i="1"/>
  <c r="M43" i="1"/>
  <c r="O43" i="1" s="1"/>
  <c r="M44" i="1"/>
  <c r="O44" i="1"/>
  <c r="M45" i="1"/>
  <c r="O45" i="1" s="1"/>
  <c r="H46" i="1"/>
  <c r="I46" i="1"/>
  <c r="J46" i="1"/>
  <c r="H47" i="1"/>
  <c r="I47" i="1"/>
  <c r="J47" i="1"/>
  <c r="M47" i="1"/>
  <c r="O47" i="1" s="1"/>
  <c r="H48" i="1"/>
  <c r="I48" i="1"/>
  <c r="J48" i="1"/>
  <c r="M48" i="1"/>
  <c r="O48" i="1" s="1"/>
  <c r="H49" i="1"/>
  <c r="I49" i="1"/>
  <c r="J49" i="1"/>
  <c r="M49" i="1"/>
  <c r="O49" i="1"/>
  <c r="H50" i="1"/>
  <c r="I50" i="1"/>
  <c r="G50" i="1" s="1"/>
  <c r="J50" i="1"/>
  <c r="M50" i="1"/>
  <c r="O50" i="1"/>
  <c r="H51" i="1"/>
  <c r="G47" i="1" s="1"/>
  <c r="I51" i="1"/>
  <c r="J51" i="1"/>
  <c r="M51" i="1"/>
  <c r="O51" i="1"/>
  <c r="H52" i="1"/>
  <c r="I52" i="1"/>
  <c r="J52" i="1"/>
  <c r="M52" i="1"/>
  <c r="O52" i="1" s="1"/>
  <c r="H53" i="1"/>
  <c r="I53" i="1"/>
  <c r="J53" i="1"/>
  <c r="M53" i="1"/>
  <c r="O53" i="1"/>
  <c r="H54" i="1"/>
  <c r="I54" i="1"/>
  <c r="J54" i="1"/>
  <c r="M54" i="1"/>
  <c r="O54" i="1" s="1"/>
  <c r="H55" i="1"/>
  <c r="I55" i="1"/>
  <c r="J55" i="1"/>
  <c r="M55" i="1"/>
  <c r="O55" i="1"/>
  <c r="H56" i="1"/>
  <c r="I56" i="1"/>
  <c r="J56" i="1"/>
  <c r="M56" i="1"/>
  <c r="O56" i="1" s="1"/>
  <c r="H57" i="1"/>
  <c r="I57" i="1"/>
  <c r="J57" i="1"/>
  <c r="M57" i="1"/>
  <c r="O57" i="1"/>
  <c r="H58" i="1"/>
  <c r="I58" i="1"/>
  <c r="J58" i="1"/>
  <c r="M58" i="1"/>
  <c r="O58" i="1" s="1"/>
  <c r="H59" i="1"/>
  <c r="I59" i="1"/>
  <c r="J59" i="1"/>
  <c r="M59" i="1"/>
  <c r="O59" i="1" s="1"/>
  <c r="H60" i="1"/>
  <c r="I60" i="1"/>
  <c r="J60" i="1"/>
  <c r="M60" i="1"/>
  <c r="O60" i="1" s="1"/>
  <c r="L61" i="1"/>
  <c r="L62" i="1"/>
  <c r="L63" i="1" s="1"/>
  <c r="M61" i="1"/>
  <c r="O61" i="1"/>
  <c r="M62" i="1"/>
  <c r="O62" i="1" s="1"/>
  <c r="H63" i="1"/>
  <c r="I63" i="1"/>
  <c r="J63" i="1"/>
  <c r="H64" i="1"/>
  <c r="I64" i="1"/>
  <c r="J64" i="1"/>
  <c r="L64" i="1"/>
  <c r="L65" i="1" s="1"/>
  <c r="L66" i="1" s="1"/>
  <c r="M64" i="1"/>
  <c r="O64" i="1"/>
  <c r="H65" i="1"/>
  <c r="I65" i="1"/>
  <c r="J65" i="1"/>
  <c r="M65" i="1"/>
  <c r="O65" i="1" s="1"/>
  <c r="H66" i="1"/>
  <c r="I66" i="1"/>
  <c r="J66" i="1"/>
  <c r="M66" i="1"/>
  <c r="O66" i="1"/>
  <c r="H67" i="1"/>
  <c r="I67" i="1"/>
  <c r="J67" i="1"/>
  <c r="M67" i="1"/>
  <c r="O67" i="1"/>
  <c r="H68" i="1"/>
  <c r="I68" i="1"/>
  <c r="J68" i="1"/>
  <c r="M68" i="1"/>
  <c r="O68" i="1" s="1"/>
  <c r="H69" i="1"/>
  <c r="I69" i="1"/>
  <c r="J69" i="1"/>
  <c r="M69" i="1"/>
  <c r="O69" i="1"/>
  <c r="M70" i="1"/>
  <c r="O70" i="1" s="1"/>
  <c r="H71" i="1"/>
  <c r="I71" i="1"/>
  <c r="J71" i="1"/>
  <c r="M71" i="1"/>
  <c r="O71" i="1" s="1"/>
  <c r="H72" i="1"/>
  <c r="I72" i="1"/>
  <c r="J72" i="1"/>
  <c r="M72" i="1"/>
  <c r="O72" i="1"/>
  <c r="H73" i="1"/>
  <c r="I73" i="1"/>
  <c r="J73" i="1"/>
  <c r="M73" i="1"/>
  <c r="O73" i="1"/>
  <c r="H74" i="1"/>
  <c r="I74" i="1"/>
  <c r="J74" i="1"/>
  <c r="M74" i="1"/>
  <c r="O74" i="1" s="1"/>
  <c r="H75" i="1"/>
  <c r="I75" i="1"/>
  <c r="J75" i="1"/>
  <c r="M75" i="1"/>
  <c r="O75" i="1" s="1"/>
  <c r="H76" i="1"/>
  <c r="I76" i="1"/>
  <c r="J76" i="1"/>
  <c r="M76" i="1"/>
  <c r="O76" i="1"/>
  <c r="M77" i="1"/>
  <c r="O77" i="1"/>
  <c r="K78" i="1"/>
  <c r="M78" i="1"/>
  <c r="O78" i="1"/>
  <c r="H79" i="1"/>
  <c r="H80" i="1"/>
  <c r="M80" i="1"/>
  <c r="O80" i="1"/>
  <c r="H81" i="1"/>
  <c r="M81" i="1"/>
  <c r="O81" i="1"/>
  <c r="H82" i="1"/>
  <c r="M82" i="1"/>
  <c r="O82" i="1" s="1"/>
  <c r="H83" i="1"/>
  <c r="M83" i="1"/>
  <c r="O83" i="1"/>
  <c r="H84" i="1"/>
  <c r="M84" i="1"/>
  <c r="O84" i="1" s="1"/>
  <c r="H85" i="1"/>
  <c r="M85" i="1"/>
  <c r="O85" i="1"/>
  <c r="H86" i="1"/>
  <c r="M86" i="1"/>
  <c r="O86" i="1" s="1"/>
  <c r="H87" i="1"/>
  <c r="K87" i="1" s="1"/>
  <c r="M87" i="1" s="1"/>
  <c r="O87" i="1" s="1"/>
  <c r="H88" i="1"/>
  <c r="H89" i="1"/>
  <c r="M89" i="1"/>
  <c r="O89" i="1" s="1"/>
  <c r="H90" i="1"/>
  <c r="M90" i="1"/>
  <c r="O90" i="1"/>
  <c r="H91" i="1"/>
  <c r="M91" i="1"/>
  <c r="O91" i="1"/>
  <c r="H92" i="1"/>
  <c r="M92" i="1"/>
  <c r="O92" i="1"/>
  <c r="H93" i="1"/>
  <c r="M93" i="1"/>
  <c r="O93" i="1" s="1"/>
  <c r="H94" i="1"/>
  <c r="K94" i="1" s="1"/>
  <c r="M94" i="1" s="1"/>
  <c r="O94" i="1" s="1"/>
  <c r="H95" i="1"/>
  <c r="M95" i="1"/>
  <c r="O95" i="1" s="1"/>
  <c r="H96" i="1"/>
  <c r="H97" i="1"/>
  <c r="G96" i="1" s="1"/>
  <c r="K96" i="1" s="1"/>
  <c r="M96" i="1" s="1"/>
  <c r="O96" i="1" s="1"/>
  <c r="M97" i="1"/>
  <c r="O97" i="1" s="1"/>
  <c r="H98" i="1"/>
  <c r="M98" i="1"/>
  <c r="O98" i="1" s="1"/>
  <c r="F99" i="1"/>
  <c r="H99" i="1"/>
  <c r="M99" i="1"/>
  <c r="O99" i="1" s="1"/>
  <c r="F100" i="1"/>
  <c r="H100" i="1"/>
  <c r="M100" i="1"/>
  <c r="O100" i="1"/>
  <c r="F101" i="1"/>
  <c r="H101" i="1"/>
  <c r="M101" i="1"/>
  <c r="O101" i="1"/>
  <c r="F102" i="1"/>
  <c r="H102" i="1"/>
  <c r="M102" i="1"/>
  <c r="O102" i="1"/>
  <c r="F103" i="1"/>
  <c r="H103" i="1"/>
  <c r="M103" i="1"/>
  <c r="O103" i="1"/>
  <c r="F104" i="1"/>
  <c r="H104" i="1"/>
  <c r="M104" i="1"/>
  <c r="O104" i="1"/>
  <c r="F105" i="1"/>
  <c r="H105" i="1"/>
  <c r="M105" i="1"/>
  <c r="O105" i="1"/>
  <c r="F106" i="1"/>
  <c r="H106" i="1"/>
  <c r="K106" i="1"/>
  <c r="M106" i="1"/>
  <c r="O106" i="1" s="1"/>
  <c r="F107" i="1"/>
  <c r="H107" i="1"/>
  <c r="F108" i="1"/>
  <c r="H108" i="1"/>
  <c r="M108" i="1"/>
  <c r="O108" i="1"/>
  <c r="F109" i="1"/>
  <c r="H109" i="1"/>
  <c r="M109" i="1"/>
  <c r="O109" i="1"/>
  <c r="F110" i="1"/>
  <c r="H110" i="1"/>
  <c r="M110" i="1"/>
  <c r="O110" i="1"/>
  <c r="H111" i="1"/>
  <c r="M111" i="1"/>
  <c r="O111" i="1" s="1"/>
  <c r="H112" i="1"/>
  <c r="M112" i="1"/>
  <c r="O112" i="1"/>
  <c r="H113" i="1"/>
  <c r="M113" i="1"/>
  <c r="O113" i="1"/>
  <c r="H114" i="1"/>
  <c r="M114" i="1"/>
  <c r="O114" i="1" s="1"/>
  <c r="H115" i="1"/>
  <c r="M115" i="1"/>
  <c r="O115" i="1" s="1"/>
  <c r="H116" i="1"/>
  <c r="M116" i="1"/>
  <c r="O116" i="1"/>
  <c r="F117" i="1"/>
  <c r="H117" i="1"/>
  <c r="M117" i="1"/>
  <c r="O117" i="1"/>
  <c r="F118" i="1"/>
  <c r="H118" i="1"/>
  <c r="M118" i="1"/>
  <c r="O118" i="1"/>
  <c r="F119" i="1"/>
  <c r="H119" i="1"/>
  <c r="M119" i="1"/>
  <c r="O119" i="1"/>
  <c r="F120" i="1"/>
  <c r="H120" i="1"/>
  <c r="M120" i="1"/>
  <c r="O120" i="1"/>
  <c r="F121" i="1"/>
  <c r="H121" i="1"/>
  <c r="M121" i="1"/>
  <c r="O121" i="1"/>
  <c r="F122" i="1"/>
  <c r="H122" i="1"/>
  <c r="M122" i="1"/>
  <c r="O122" i="1"/>
  <c r="F123" i="1"/>
  <c r="H123" i="1"/>
  <c r="K123" i="1"/>
  <c r="M123" i="1"/>
  <c r="O123" i="1" s="1"/>
  <c r="F124" i="1"/>
  <c r="M124" i="1"/>
  <c r="O124" i="1"/>
  <c r="F125" i="1"/>
  <c r="H125" i="1"/>
  <c r="H126" i="1"/>
  <c r="M126" i="1"/>
  <c r="O126" i="1" s="1"/>
  <c r="H127" i="1"/>
  <c r="M127" i="1"/>
  <c r="O127" i="1"/>
  <c r="H128" i="1"/>
  <c r="M128" i="1"/>
  <c r="O128" i="1"/>
  <c r="G129" i="1"/>
  <c r="H129" i="1"/>
  <c r="K129" i="1" s="1"/>
  <c r="M129" i="1" s="1"/>
  <c r="O129" i="1" s="1"/>
  <c r="I129" i="1"/>
  <c r="M130" i="1"/>
  <c r="O130" i="1"/>
  <c r="K131" i="1"/>
  <c r="M131" i="1" s="1"/>
  <c r="O131" i="1" s="1"/>
  <c r="K132" i="1"/>
  <c r="M132" i="1"/>
  <c r="O132" i="1" s="1"/>
  <c r="G133" i="1"/>
  <c r="H133" i="1"/>
  <c r="K133" i="1"/>
  <c r="M133" i="1" s="1"/>
  <c r="O133" i="1" s="1"/>
  <c r="I133" i="1"/>
  <c r="K134" i="1"/>
  <c r="M134" i="1" s="1"/>
  <c r="O134" i="1" s="1"/>
  <c r="K135" i="1"/>
  <c r="M135" i="1"/>
  <c r="O135" i="1" s="1"/>
  <c r="G136" i="1"/>
  <c r="H136" i="1"/>
  <c r="I136" i="1"/>
  <c r="K136" i="1"/>
  <c r="M136" i="1" s="1"/>
  <c r="O136" i="1" s="1"/>
  <c r="G137" i="1"/>
  <c r="H137" i="1"/>
  <c r="K137" i="1" s="1"/>
  <c r="M137" i="1" s="1"/>
  <c r="O137" i="1" s="1"/>
  <c r="I137" i="1"/>
  <c r="K138" i="1"/>
  <c r="M138" i="1"/>
  <c r="O138" i="1"/>
  <c r="K139" i="1"/>
  <c r="M139" i="1" s="1"/>
  <c r="O139" i="1" s="1"/>
  <c r="K140" i="1"/>
  <c r="M140" i="1" s="1"/>
  <c r="O140" i="1" s="1"/>
  <c r="H141" i="1"/>
  <c r="H142" i="1"/>
  <c r="G141" i="1" s="1"/>
  <c r="K141" i="1" s="1"/>
  <c r="M141" i="1" s="1"/>
  <c r="O141" i="1" s="1"/>
  <c r="M142" i="1"/>
  <c r="O142" i="1" s="1"/>
  <c r="H143" i="1"/>
  <c r="M143" i="1"/>
  <c r="O143" i="1" s="1"/>
  <c r="H144" i="1"/>
  <c r="K144" i="1"/>
  <c r="M144" i="1"/>
  <c r="O144" i="1" s="1"/>
  <c r="M145" i="1"/>
  <c r="O145" i="1"/>
  <c r="K146" i="1"/>
  <c r="M146" i="1" s="1"/>
  <c r="O146" i="1" s="1"/>
  <c r="K147" i="1"/>
  <c r="M147" i="1"/>
  <c r="O147" i="1" s="1"/>
  <c r="G148" i="1"/>
  <c r="H148" i="1"/>
  <c r="I148" i="1"/>
  <c r="K148" i="1"/>
  <c r="M148" i="1" s="1"/>
  <c r="O148" i="1" s="1"/>
  <c r="G149" i="1"/>
  <c r="H149" i="1"/>
  <c r="K149" i="1" s="1"/>
  <c r="I149" i="1"/>
  <c r="M149" i="1"/>
  <c r="O149" i="1" s="1"/>
  <c r="H150" i="1"/>
  <c r="H151" i="1"/>
  <c r="M151" i="1"/>
  <c r="O151" i="1" s="1"/>
  <c r="H152" i="1"/>
  <c r="M152" i="1"/>
  <c r="O152" i="1"/>
  <c r="M153" i="1"/>
  <c r="O153" i="1" s="1"/>
  <c r="K154" i="1"/>
  <c r="M154" i="1"/>
  <c r="O154" i="1" s="1"/>
  <c r="G155" i="1"/>
  <c r="H155" i="1"/>
  <c r="I155" i="1"/>
  <c r="K155" i="1"/>
  <c r="M155" i="1" s="1"/>
  <c r="O155" i="1" s="1"/>
  <c r="G156" i="1"/>
  <c r="H156" i="1"/>
  <c r="K156" i="1" s="1"/>
  <c r="M156" i="1" s="1"/>
  <c r="O156" i="1" s="1"/>
  <c r="I156" i="1"/>
  <c r="G157" i="1"/>
  <c r="H157" i="1"/>
  <c r="M157" i="1"/>
  <c r="O157" i="1" s="1"/>
  <c r="G158" i="1"/>
  <c r="H158" i="1"/>
  <c r="M158" i="1"/>
  <c r="O158" i="1" s="1"/>
  <c r="G159" i="1"/>
  <c r="H159" i="1"/>
  <c r="M159" i="1"/>
  <c r="O159" i="1" s="1"/>
  <c r="G160" i="1"/>
  <c r="H160" i="1"/>
  <c r="M160" i="1"/>
  <c r="O160" i="1" s="1"/>
  <c r="G161" i="1"/>
  <c r="H161" i="1"/>
  <c r="M161" i="1"/>
  <c r="O161" i="1" s="1"/>
  <c r="G162" i="1"/>
  <c r="H162" i="1"/>
  <c r="M162" i="1"/>
  <c r="O162" i="1" s="1"/>
  <c r="G163" i="1"/>
  <c r="K163" i="1"/>
  <c r="M163" i="1"/>
  <c r="O163" i="1" s="1"/>
  <c r="M164" i="1"/>
  <c r="O164" i="1"/>
  <c r="G165" i="1"/>
  <c r="H165" i="1" s="1"/>
  <c r="M165" i="1"/>
  <c r="O165" i="1"/>
  <c r="G166" i="1"/>
  <c r="H166" i="1" s="1"/>
  <c r="M166" i="1"/>
  <c r="O166" i="1"/>
  <c r="G167" i="1"/>
  <c r="H167" i="1" s="1"/>
  <c r="M167" i="1"/>
  <c r="O167" i="1"/>
  <c r="G168" i="1"/>
  <c r="H168" i="1" s="1"/>
  <c r="M168" i="1"/>
  <c r="O168" i="1"/>
  <c r="G169" i="1"/>
  <c r="H169" i="1" s="1"/>
  <c r="M169" i="1"/>
  <c r="O169" i="1"/>
  <c r="G170" i="1"/>
  <c r="H170" i="1" s="1"/>
  <c r="M170" i="1"/>
  <c r="O170" i="1"/>
  <c r="G171" i="1"/>
  <c r="K171" i="1"/>
  <c r="M171" i="1" s="1"/>
  <c r="O171" i="1" s="1"/>
  <c r="M172" i="1"/>
  <c r="O172" i="1" s="1"/>
  <c r="K173" i="1"/>
  <c r="M173" i="1"/>
  <c r="O173" i="1"/>
  <c r="M174" i="1"/>
  <c r="O174" i="1" s="1"/>
  <c r="K175" i="1"/>
  <c r="M175" i="1" s="1"/>
  <c r="O175" i="1" s="1"/>
  <c r="H175" i="1"/>
  <c r="G175" i="1" s="1"/>
  <c r="F176" i="1"/>
  <c r="H176" i="1"/>
  <c r="M176" i="1"/>
  <c r="O176" i="1"/>
  <c r="F177" i="1"/>
  <c r="H177" i="1"/>
  <c r="M177" i="1"/>
  <c r="O177" i="1"/>
  <c r="F178" i="1"/>
  <c r="H178" i="1"/>
  <c r="M178" i="1"/>
  <c r="O178" i="1"/>
  <c r="F179" i="1"/>
  <c r="H179" i="1"/>
  <c r="M179" i="1"/>
  <c r="O179" i="1"/>
  <c r="F180" i="1"/>
  <c r="H180" i="1"/>
  <c r="K180" i="1" s="1"/>
  <c r="M180" i="1" s="1"/>
  <c r="O180" i="1"/>
  <c r="F181" i="1"/>
  <c r="M181" i="1"/>
  <c r="O181" i="1"/>
  <c r="K182" i="1"/>
  <c r="M182" i="1" s="1"/>
  <c r="O182" i="1" s="1"/>
  <c r="K183" i="1"/>
  <c r="M183" i="1"/>
  <c r="O183" i="1" s="1"/>
  <c r="K184" i="1"/>
  <c r="M184" i="1"/>
  <c r="O184" i="1"/>
  <c r="H185" i="1"/>
  <c r="G185" i="1" s="1"/>
  <c r="K185" i="1" s="1"/>
  <c r="M185" i="1" s="1"/>
  <c r="O185" i="1" s="1"/>
  <c r="H186" i="1"/>
  <c r="M186" i="1"/>
  <c r="O186" i="1"/>
  <c r="H187" i="1"/>
  <c r="M187" i="1"/>
  <c r="O187" i="1"/>
  <c r="H188" i="1"/>
  <c r="M188" i="1"/>
  <c r="O188" i="1" s="1"/>
  <c r="H189" i="1"/>
  <c r="M189" i="1"/>
  <c r="O189" i="1" s="1"/>
  <c r="H190" i="1"/>
  <c r="M190" i="1"/>
  <c r="O190" i="1"/>
  <c r="H191" i="1"/>
  <c r="M191" i="1"/>
  <c r="O191" i="1"/>
  <c r="H192" i="1"/>
  <c r="M192" i="1"/>
  <c r="O192" i="1" s="1"/>
  <c r="H193" i="1"/>
  <c r="H194" i="1"/>
  <c r="M194" i="1"/>
  <c r="O194" i="1" s="1"/>
  <c r="H195" i="1"/>
  <c r="M195" i="1"/>
  <c r="O195" i="1" s="1"/>
  <c r="H196" i="1"/>
  <c r="M196" i="1"/>
  <c r="O196" i="1"/>
  <c r="H197" i="1"/>
  <c r="M197" i="1"/>
  <c r="O197" i="1"/>
  <c r="H198" i="1"/>
  <c r="M198" i="1"/>
  <c r="O198" i="1" s="1"/>
  <c r="H199" i="1"/>
  <c r="M199" i="1"/>
  <c r="O199" i="1" s="1"/>
  <c r="H201" i="1"/>
  <c r="K201" i="1"/>
  <c r="M201" i="1"/>
  <c r="O201" i="1" s="1"/>
  <c r="H202" i="1"/>
  <c r="K202" i="1"/>
  <c r="M202" i="1" s="1"/>
  <c r="O202" i="1" s="1"/>
  <c r="H203" i="1"/>
  <c r="G202" i="1" s="1"/>
  <c r="M203" i="1"/>
  <c r="O203" i="1" s="1"/>
  <c r="H204" i="1"/>
  <c r="M204" i="1"/>
  <c r="O204" i="1"/>
  <c r="H205" i="1"/>
  <c r="M205" i="1"/>
  <c r="O205" i="1"/>
  <c r="K206" i="1"/>
  <c r="M206" i="1" s="1"/>
  <c r="O206" i="1" s="1"/>
  <c r="G224" i="1"/>
  <c r="A395" i="1"/>
  <c r="L3" i="11"/>
  <c r="I9" i="11"/>
  <c r="I10" i="11"/>
  <c r="I11" i="11"/>
  <c r="I12" i="11"/>
  <c r="I13" i="11"/>
  <c r="L13" i="11"/>
  <c r="A26" i="11"/>
  <c r="A16" i="11"/>
  <c r="F16" i="11" s="1"/>
  <c r="F11" i="18"/>
  <c r="H11" i="18" s="1"/>
  <c r="G11" i="18"/>
  <c r="B11" i="18" s="1"/>
  <c r="G29" i="18"/>
  <c r="A29" i="18" s="1"/>
  <c r="G31" i="18"/>
  <c r="A31" i="18" s="1"/>
  <c r="B2" i="19"/>
  <c r="C2" i="19"/>
  <c r="D2" i="19"/>
  <c r="E2" i="19"/>
  <c r="F2" i="19"/>
  <c r="G2" i="19"/>
  <c r="H2" i="19"/>
  <c r="I2" i="19"/>
  <c r="J2" i="19"/>
  <c r="K2" i="19"/>
  <c r="X2" i="19"/>
  <c r="K4" i="19"/>
  <c r="L4" i="19"/>
  <c r="M4" i="19"/>
  <c r="N4" i="19"/>
  <c r="P4" i="19"/>
  <c r="Q4" i="19"/>
  <c r="S4" i="19"/>
  <c r="U4" i="19"/>
  <c r="V4" i="19"/>
  <c r="X4" i="19"/>
  <c r="Y4" i="19"/>
  <c r="Z4" i="19"/>
  <c r="AA4" i="19"/>
  <c r="AB4" i="19"/>
  <c r="AC4" i="19"/>
  <c r="AD4" i="19"/>
  <c r="AE4" i="19"/>
  <c r="AF4" i="19"/>
  <c r="AG4" i="19"/>
  <c r="AH4" i="19"/>
  <c r="AI4" i="19"/>
  <c r="AJ4" i="19"/>
  <c r="AK4" i="19"/>
  <c r="AL4" i="19"/>
  <c r="AM4" i="19"/>
  <c r="AN4" i="19"/>
  <c r="AO4" i="19"/>
  <c r="AP4" i="19"/>
  <c r="AQ4" i="19"/>
  <c r="AR4" i="19"/>
  <c r="AS4" i="19"/>
  <c r="AT4" i="19"/>
  <c r="AU4" i="19"/>
  <c r="AV4" i="19"/>
  <c r="AW4" i="19"/>
  <c r="BI4" i="19" s="1"/>
  <c r="BU4" i="19" s="1"/>
  <c r="CG4" i="19" s="1"/>
  <c r="AX4" i="19"/>
  <c r="BJ4" i="19" s="1"/>
  <c r="BV4" i="19" s="1"/>
  <c r="CH4" i="19" s="1"/>
  <c r="AY4" i="19"/>
  <c r="AZ4" i="19"/>
  <c r="BA4" i="19"/>
  <c r="BM4" i="19" s="1"/>
  <c r="BY4" i="19" s="1"/>
  <c r="CK4" i="19" s="1"/>
  <c r="BB4" i="19"/>
  <c r="BN4" i="19" s="1"/>
  <c r="BC4" i="19"/>
  <c r="BD4" i="19"/>
  <c r="BE4" i="19"/>
  <c r="BQ4" i="19" s="1"/>
  <c r="CC4" i="19" s="1"/>
  <c r="CO4" i="19" s="1"/>
  <c r="BF4" i="19"/>
  <c r="BR4" i="19" s="1"/>
  <c r="BG4" i="19"/>
  <c r="BH4" i="19"/>
  <c r="BT4" i="19"/>
  <c r="CF4" i="19" s="1"/>
  <c r="BK4" i="19"/>
  <c r="BW4" i="19" s="1"/>
  <c r="CI4" i="19" s="1"/>
  <c r="BL4" i="19"/>
  <c r="BX4" i="19"/>
  <c r="CJ4" i="19"/>
  <c r="BO4" i="19"/>
  <c r="CA4" i="19"/>
  <c r="CM4" i="19" s="1"/>
  <c r="BP4" i="19"/>
  <c r="CB4" i="19"/>
  <c r="CN4" i="19" s="1"/>
  <c r="BZ4" i="19"/>
  <c r="CL4" i="19" s="1"/>
  <c r="CD4" i="19"/>
  <c r="CP4" i="19" s="1"/>
  <c r="CE4" i="19"/>
  <c r="CQ4" i="19"/>
  <c r="CS4" i="19"/>
  <c r="CT4" i="19"/>
  <c r="DG4" i="19"/>
  <c r="DT4" i="19"/>
  <c r="CU4" i="19"/>
  <c r="CV4" i="19"/>
  <c r="CW4" i="19"/>
  <c r="CX4" i="19"/>
  <c r="DK4" i="19" s="1"/>
  <c r="DX4" i="19" s="1"/>
  <c r="CY4" i="19"/>
  <c r="DL4" i="19" s="1"/>
  <c r="DY4" i="19" s="1"/>
  <c r="CZ4" i="19"/>
  <c r="DA4" i="19"/>
  <c r="DB4" i="19"/>
  <c r="DO4" i="19"/>
  <c r="EB4" i="19"/>
  <c r="DC4" i="19"/>
  <c r="DD4" i="19"/>
  <c r="DQ4" i="19"/>
  <c r="ED4" i="19"/>
  <c r="DE4" i="19"/>
  <c r="DF4" i="19"/>
  <c r="DS4" i="19"/>
  <c r="DH4" i="19"/>
  <c r="DU4" i="19" s="1"/>
  <c r="DI4" i="19"/>
  <c r="DJ4" i="19"/>
  <c r="DW4" i="19" s="1"/>
  <c r="DM4" i="19"/>
  <c r="DN4" i="19"/>
  <c r="EA4" i="19" s="1"/>
  <c r="DP4" i="19"/>
  <c r="EC4" i="19"/>
  <c r="DR4" i="19"/>
  <c r="EE4" i="19" s="1"/>
  <c r="DV4" i="19"/>
  <c r="DZ4" i="19"/>
  <c r="EG4" i="19"/>
  <c r="EH4" i="19"/>
  <c r="EI4" i="19"/>
  <c r="EJ4" i="19"/>
  <c r="EK4" i="19"/>
  <c r="EL4" i="19"/>
  <c r="EM4" i="19"/>
  <c r="EN4" i="19"/>
  <c r="EO4" i="19"/>
  <c r="EP4" i="19"/>
  <c r="EQ4" i="19"/>
  <c r="ER4" i="19"/>
  <c r="ES4" i="19"/>
  <c r="ET4" i="19"/>
  <c r="EU4" i="19"/>
  <c r="EV4" i="19"/>
  <c r="EW4" i="19"/>
  <c r="EX4" i="19"/>
  <c r="EY4" i="19"/>
  <c r="EZ4" i="19"/>
  <c r="EZ6" i="19" s="1"/>
  <c r="FC4" i="19"/>
  <c r="FD4" i="19"/>
  <c r="FE4" i="19"/>
  <c r="FF4" i="19"/>
  <c r="FG4" i="19"/>
  <c r="FH4" i="19"/>
  <c r="FI4" i="19"/>
  <c r="FJ4" i="19"/>
  <c r="FQ4" i="19"/>
  <c r="FR4" i="19"/>
  <c r="FS4" i="19"/>
  <c r="FT4" i="19"/>
  <c r="FU4" i="19"/>
  <c r="FV4" i="19"/>
  <c r="FW4" i="19"/>
  <c r="FX4" i="19"/>
  <c r="FY4" i="19"/>
  <c r="FZ4" i="19"/>
  <c r="GA4" i="19"/>
  <c r="GA6" i="19"/>
  <c r="GB4" i="19"/>
  <c r="GC4" i="19"/>
  <c r="GD4" i="19"/>
  <c r="GE4" i="19"/>
  <c r="GF4" i="19"/>
  <c r="GG4" i="19"/>
  <c r="GH4" i="19"/>
  <c r="GI4" i="19"/>
  <c r="GJ4" i="19"/>
  <c r="GK4" i="19"/>
  <c r="GL4" i="19"/>
  <c r="GM4" i="19"/>
  <c r="GN4" i="19"/>
  <c r="GO4" i="19"/>
  <c r="GP4" i="19"/>
  <c r="GQ4" i="19"/>
  <c r="GQ6" i="19" s="1"/>
  <c r="GS4" i="19"/>
  <c r="GT4" i="19"/>
  <c r="GU4" i="19"/>
  <c r="GV4" i="19"/>
  <c r="B6" i="19"/>
  <c r="C6" i="19"/>
  <c r="D6" i="19"/>
  <c r="E6" i="19"/>
  <c r="F6" i="19"/>
  <c r="G6" i="19"/>
  <c r="H6" i="19"/>
  <c r="I6" i="19"/>
  <c r="J6" i="19"/>
  <c r="K6" i="19"/>
  <c r="L6" i="19"/>
  <c r="M6" i="19"/>
  <c r="N6" i="19"/>
  <c r="O6" i="19"/>
  <c r="P6" i="19"/>
  <c r="Q6" i="19"/>
  <c r="R6" i="19"/>
  <c r="S6" i="19"/>
  <c r="T6" i="19"/>
  <c r="U6" i="19"/>
  <c r="V6" i="19"/>
  <c r="X6" i="19"/>
  <c r="Y6" i="19"/>
  <c r="Z6" i="19"/>
  <c r="AA6" i="19"/>
  <c r="AB6" i="19"/>
  <c r="AC6" i="19"/>
  <c r="AD6" i="19"/>
  <c r="AE6" i="19"/>
  <c r="AF6" i="19"/>
  <c r="AG6" i="19"/>
  <c r="AH6" i="19"/>
  <c r="AI6" i="19"/>
  <c r="AJ6" i="19"/>
  <c r="AK6" i="19"/>
  <c r="AL6" i="19"/>
  <c r="AM6" i="19"/>
  <c r="AN6" i="19"/>
  <c r="AO6" i="19"/>
  <c r="AP6" i="19"/>
  <c r="AQ6" i="19"/>
  <c r="AR6" i="19"/>
  <c r="AS6" i="19"/>
  <c r="AT6" i="19"/>
  <c r="AU6" i="19"/>
  <c r="AV6" i="19"/>
  <c r="AW6" i="19"/>
  <c r="AX6" i="19"/>
  <c r="AY6" i="19"/>
  <c r="AZ6" i="19"/>
  <c r="BA6" i="19"/>
  <c r="BB6" i="19"/>
  <c r="BC6" i="19"/>
  <c r="BD6" i="19"/>
  <c r="BE6" i="19"/>
  <c r="BF6" i="19"/>
  <c r="BG6" i="19"/>
  <c r="BH6" i="19"/>
  <c r="BI6" i="19"/>
  <c r="BJ6" i="19"/>
  <c r="BK6" i="19"/>
  <c r="BL6" i="19"/>
  <c r="BM6" i="19"/>
  <c r="BN6" i="19"/>
  <c r="BO6" i="19"/>
  <c r="BP6" i="19"/>
  <c r="BQ6" i="19"/>
  <c r="BR6" i="19"/>
  <c r="BS6" i="19"/>
  <c r="BT6" i="19"/>
  <c r="BU6" i="19"/>
  <c r="BV6" i="19"/>
  <c r="BW6" i="19"/>
  <c r="BX6" i="19"/>
  <c r="BY6" i="19"/>
  <c r="BZ6" i="19"/>
  <c r="CA6" i="19"/>
  <c r="CB6" i="19"/>
  <c r="CC6" i="19"/>
  <c r="CD6" i="19"/>
  <c r="CE6" i="19"/>
  <c r="CF6" i="19"/>
  <c r="CG6" i="19"/>
  <c r="CH6" i="19"/>
  <c r="CI6" i="19"/>
  <c r="CJ6" i="19"/>
  <c r="CK6" i="19"/>
  <c r="CL6" i="19"/>
  <c r="CM6" i="19"/>
  <c r="CN6" i="19"/>
  <c r="CO6" i="19"/>
  <c r="CP6" i="19"/>
  <c r="CQ6" i="19"/>
  <c r="CS6" i="19"/>
  <c r="CT6" i="19"/>
  <c r="CU6" i="19"/>
  <c r="CV6" i="19"/>
  <c r="CW6" i="19"/>
  <c r="CX6" i="19"/>
  <c r="CY6" i="19"/>
  <c r="CZ6" i="19"/>
  <c r="DA6" i="19"/>
  <c r="DB6" i="19"/>
  <c r="DC6" i="19"/>
  <c r="DD6" i="19"/>
  <c r="DE6" i="19"/>
  <c r="DF6" i="19"/>
  <c r="DG6" i="19"/>
  <c r="DH6" i="19"/>
  <c r="DI6" i="19"/>
  <c r="DJ6" i="19"/>
  <c r="DK6" i="19"/>
  <c r="DL6" i="19"/>
  <c r="DM6" i="19"/>
  <c r="DN6" i="19"/>
  <c r="DO6" i="19"/>
  <c r="DP6" i="19"/>
  <c r="DQ6" i="19"/>
  <c r="DR6" i="19"/>
  <c r="DS6" i="19"/>
  <c r="DT6" i="19"/>
  <c r="DU6" i="19"/>
  <c r="DV6" i="19"/>
  <c r="DW6" i="19"/>
  <c r="DX6" i="19"/>
  <c r="DY6" i="19"/>
  <c r="DZ6" i="19"/>
  <c r="EA6" i="19"/>
  <c r="EB6" i="19"/>
  <c r="EC6" i="19"/>
  <c r="ED6" i="19"/>
  <c r="EE6" i="19"/>
  <c r="EG6" i="19"/>
  <c r="EH6" i="19"/>
  <c r="EI6" i="19"/>
  <c r="EJ6" i="19"/>
  <c r="EK6" i="19"/>
  <c r="EL6" i="19"/>
  <c r="EM6" i="19"/>
  <c r="EN6" i="19"/>
  <c r="EO6" i="19"/>
  <c r="EP6" i="19"/>
  <c r="EQ6" i="19"/>
  <c r="ER6" i="19"/>
  <c r="ES6" i="19"/>
  <c r="ET6" i="19"/>
  <c r="EU6" i="19"/>
  <c r="EV6" i="19"/>
  <c r="EW6" i="19"/>
  <c r="EX6" i="19"/>
  <c r="EY6" i="19"/>
  <c r="FB6" i="19"/>
  <c r="FC6" i="19"/>
  <c r="FD6" i="19"/>
  <c r="FE6" i="19"/>
  <c r="FF6" i="19"/>
  <c r="FG6" i="19"/>
  <c r="FH6" i="19"/>
  <c r="FI6" i="19"/>
  <c r="FK6" i="19"/>
  <c r="FL6" i="19"/>
  <c r="FM6" i="19"/>
  <c r="FN6" i="19"/>
  <c r="FO6" i="19"/>
  <c r="FP6" i="19"/>
  <c r="FQ6" i="19"/>
  <c r="FR6" i="19"/>
  <c r="FS6" i="19"/>
  <c r="FT6" i="19"/>
  <c r="FU6" i="19"/>
  <c r="FV6" i="19"/>
  <c r="FW6" i="19"/>
  <c r="FX6" i="19"/>
  <c r="FY6" i="19"/>
  <c r="FZ6" i="19"/>
  <c r="GB6" i="19"/>
  <c r="GC6" i="19"/>
  <c r="GD6" i="19"/>
  <c r="GE6" i="19"/>
  <c r="GF6" i="19"/>
  <c r="GG6" i="19"/>
  <c r="GH6" i="19"/>
  <c r="GI6" i="19"/>
  <c r="GJ6" i="19"/>
  <c r="GK6" i="19"/>
  <c r="GL6" i="19"/>
  <c r="GM6" i="19"/>
  <c r="GN6" i="19"/>
  <c r="GO6" i="19"/>
  <c r="GP6" i="19"/>
  <c r="A18" i="11"/>
  <c r="F18" i="11" s="1"/>
  <c r="L67" i="1"/>
  <c r="G150" i="1"/>
  <c r="K150" i="1" s="1"/>
  <c r="M150" i="1" s="1"/>
  <c r="O150" i="1" s="1"/>
  <c r="G125" i="1"/>
  <c r="K125" i="1" s="1"/>
  <c r="M125" i="1"/>
  <c r="O125" i="1" s="1"/>
  <c r="G71" i="1"/>
  <c r="G29" i="1"/>
  <c r="A21" i="4"/>
  <c r="F21" i="4" s="1"/>
  <c r="A19" i="4"/>
  <c r="F19" i="4"/>
  <c r="A17" i="4"/>
  <c r="F17" i="4" s="1"/>
  <c r="G13" i="13"/>
  <c r="H13" i="13"/>
  <c r="E14" i="13" s="1"/>
  <c r="K13" i="13"/>
  <c r="A20" i="13" s="1"/>
  <c r="F20" i="13" s="1"/>
  <c r="A12" i="12"/>
  <c r="G15" i="8"/>
  <c r="K15" i="8"/>
  <c r="A56" i="8"/>
  <c r="F56" i="8" s="1"/>
  <c r="G3" i="6"/>
  <c r="A13" i="15"/>
  <c r="A16" i="4"/>
  <c r="F16" i="4" s="1"/>
  <c r="A18" i="4"/>
  <c r="F18" i="4"/>
  <c r="A20" i="4"/>
  <c r="F20" i="4" s="1"/>
  <c r="A22" i="4"/>
  <c r="F22" i="4"/>
  <c r="A24" i="4"/>
  <c r="F24" i="4" s="1"/>
  <c r="J9" i="9"/>
  <c r="J5" i="9"/>
  <c r="K10" i="14"/>
  <c r="A13" i="14" s="1"/>
  <c r="F13" i="14" s="1"/>
  <c r="A12" i="14" s="1"/>
  <c r="A17" i="9"/>
  <c r="F17" i="9" s="1"/>
  <c r="H10" i="9"/>
  <c r="E10" i="9"/>
  <c r="A15" i="9" s="1"/>
  <c r="F15" i="9" s="1"/>
  <c r="J6" i="9"/>
  <c r="L33" i="8"/>
  <c r="H10" i="14"/>
  <c r="E11" i="14"/>
  <c r="A18" i="9"/>
  <c r="F18" i="9" s="1"/>
  <c r="L50" i="8"/>
  <c r="J8" i="9"/>
  <c r="L68" i="1"/>
  <c r="L69" i="1"/>
  <c r="L70" i="1"/>
  <c r="L71" i="1" s="1"/>
  <c r="L72" i="1"/>
  <c r="L73" i="1"/>
  <c r="L74" i="1" s="1"/>
  <c r="L75" i="1" l="1"/>
  <c r="I3" i="6"/>
  <c r="K3" i="6"/>
  <c r="A25" i="6" s="1"/>
  <c r="F25" i="6" s="1"/>
  <c r="A24" i="6" s="1"/>
  <c r="E1" i="12"/>
  <c r="F19" i="18"/>
  <c r="E1" i="15"/>
  <c r="F25" i="18"/>
  <c r="G34" i="8"/>
  <c r="K34" i="8" s="1"/>
  <c r="A60" i="8" s="1"/>
  <c r="F60" i="8" s="1"/>
  <c r="F23" i="18"/>
  <c r="E1" i="14"/>
  <c r="G64" i="1"/>
  <c r="A16" i="13"/>
  <c r="E1" i="10"/>
  <c r="F15" i="18"/>
  <c r="A15" i="4"/>
  <c r="H9" i="11"/>
  <c r="L9" i="11" s="1"/>
  <c r="A17" i="11" s="1"/>
  <c r="F17" i="11" s="1"/>
  <c r="G88" i="1"/>
  <c r="K88" i="1" s="1"/>
  <c r="M88" i="1" s="1"/>
  <c r="O88" i="1" s="1"/>
  <c r="G106" i="1"/>
  <c r="K107" i="1" s="1"/>
  <c r="M107" i="1" s="1"/>
  <c r="O107" i="1" s="1"/>
  <c r="G79" i="1"/>
  <c r="K79" i="1" s="1"/>
  <c r="M79" i="1" s="1"/>
  <c r="O79" i="1" s="1"/>
  <c r="G67" i="1"/>
  <c r="G74" i="1" s="1"/>
  <c r="K63" i="1" s="1"/>
  <c r="M63" i="1" s="1"/>
  <c r="O63" i="1" s="1"/>
  <c r="A15" i="11"/>
  <c r="G193" i="1"/>
  <c r="K193" i="1" s="1"/>
  <c r="M193" i="1" s="1"/>
  <c r="O193" i="1" s="1"/>
  <c r="G55" i="1"/>
  <c r="G58" i="1" s="1"/>
  <c r="K46" i="1" s="1"/>
  <c r="M46" i="1" s="1"/>
  <c r="O46" i="1" s="1"/>
  <c r="G12" i="1"/>
  <c r="K12" i="1" s="1"/>
  <c r="M12" i="1" s="1"/>
  <c r="O12" i="1" s="1"/>
  <c r="L11" i="1"/>
  <c r="L12" i="1"/>
  <c r="G24" i="16"/>
  <c r="K24" i="16" s="1"/>
  <c r="A35" i="16" s="1"/>
  <c r="F35" i="16" s="1"/>
  <c r="A29" i="16" s="1"/>
  <c r="G32" i="1"/>
  <c r="G40" i="1" s="1"/>
  <c r="K28" i="1" s="1"/>
  <c r="M28" i="1" s="1"/>
  <c r="O28" i="1" s="1"/>
  <c r="G31" i="7"/>
  <c r="K24" i="7" s="1"/>
  <c r="A41" i="7" s="1"/>
  <c r="F41" i="7" s="1"/>
  <c r="G15" i="7"/>
  <c r="K7" i="7" s="1"/>
  <c r="A40" i="7" s="1"/>
  <c r="F40" i="7" s="1"/>
  <c r="G6" i="8"/>
  <c r="K6" i="8" s="1"/>
  <c r="A54" i="8" s="1"/>
  <c r="F54" i="8" s="1"/>
  <c r="A52" i="8" s="1"/>
  <c r="E1" i="8" s="1"/>
  <c r="G25" i="7"/>
  <c r="G3" i="5"/>
  <c r="A23" i="4"/>
  <c r="F23" i="4" s="1"/>
  <c r="A16" i="9"/>
  <c r="F16" i="9" s="1"/>
  <c r="A14" i="9" s="1"/>
  <c r="A424" i="1" l="1"/>
  <c r="A377" i="1"/>
  <c r="A475" i="1"/>
  <c r="A263" i="1"/>
  <c r="A472" i="1"/>
  <c r="A421" i="1"/>
  <c r="A295" i="1"/>
  <c r="A370" i="1"/>
  <c r="A279" i="1"/>
  <c r="A296" i="1"/>
  <c r="A425" i="1"/>
  <c r="A216" i="1"/>
  <c r="A215" i="1"/>
  <c r="A387" i="1"/>
  <c r="A261" i="1"/>
  <c r="A297" i="1"/>
  <c r="A391" i="1"/>
  <c r="A269" i="1"/>
  <c r="A361" i="1"/>
  <c r="A281" i="1"/>
  <c r="A290" i="1"/>
  <c r="A292" i="1"/>
  <c r="A479" i="1"/>
  <c r="A476" i="1"/>
  <c r="A396" i="1"/>
  <c r="A272" i="1"/>
  <c r="A368" i="1"/>
  <c r="A433" i="1"/>
  <c r="A438" i="1"/>
  <c r="A392" i="1"/>
  <c r="A481" i="1"/>
  <c r="A470" i="1"/>
  <c r="A265" i="1"/>
  <c r="A210" i="1"/>
  <c r="F211" i="1" s="1"/>
  <c r="A207" i="1" s="1"/>
  <c r="A271" i="1"/>
  <c r="F13" i="18"/>
  <c r="E1" i="9"/>
  <c r="F27" i="18"/>
  <c r="E1" i="16"/>
  <c r="A39" i="7"/>
  <c r="L13" i="1"/>
  <c r="L14" i="1" s="1"/>
  <c r="L15" i="1" s="1"/>
  <c r="A218" i="1"/>
  <c r="H15" i="18"/>
  <c r="G15" i="18"/>
  <c r="B15" i="18" s="1"/>
  <c r="A469" i="1"/>
  <c r="A278" i="1"/>
  <c r="A380" i="1"/>
  <c r="A211" i="1"/>
  <c r="A434" i="1"/>
  <c r="A378" i="1"/>
  <c r="A375" i="1"/>
  <c r="A437" i="1"/>
  <c r="A262" i="1"/>
  <c r="A376" i="1"/>
  <c r="A291" i="1"/>
  <c r="A362" i="1"/>
  <c r="A367" i="1"/>
  <c r="A393" i="1"/>
  <c r="A440" i="1"/>
  <c r="A284" i="1"/>
  <c r="H25" i="18"/>
  <c r="G25" i="18"/>
  <c r="B25" i="18" s="1"/>
  <c r="F7" i="18"/>
  <c r="E1" i="6"/>
  <c r="A275" i="1"/>
  <c r="L76" i="1"/>
  <c r="E1" i="4"/>
  <c r="F3" i="18"/>
  <c r="G19" i="18"/>
  <c r="B19" i="18" s="1"/>
  <c r="H19" i="18"/>
  <c r="K3" i="5"/>
  <c r="A17" i="5" s="1"/>
  <c r="F17" i="5" s="1"/>
  <c r="A16" i="5" s="1"/>
  <c r="I3" i="5"/>
  <c r="F17" i="18"/>
  <c r="E1" i="11"/>
  <c r="A360" i="1"/>
  <c r="A480" i="1"/>
  <c r="A389" i="1"/>
  <c r="A351" i="1"/>
  <c r="A423" i="1"/>
  <c r="A217" i="1"/>
  <c r="A474" i="1"/>
  <c r="A478" i="1"/>
  <c r="A212" i="1"/>
  <c r="A214" i="1"/>
  <c r="A213" i="1"/>
  <c r="A420" i="1"/>
  <c r="A286" i="1"/>
  <c r="A473" i="1"/>
  <c r="A266" i="1"/>
  <c r="A379" i="1"/>
  <c r="A439" i="1"/>
  <c r="A394" i="1"/>
  <c r="A280" i="1"/>
  <c r="A386" i="1"/>
  <c r="A294" i="1"/>
  <c r="A436" i="1"/>
  <c r="A383" i="1"/>
  <c r="A422" i="1"/>
  <c r="A430" i="1"/>
  <c r="A268" i="1"/>
  <c r="A427" i="1"/>
  <c r="A264" i="1"/>
  <c r="A270" i="1"/>
  <c r="A429" i="1"/>
  <c r="A288" i="1"/>
  <c r="A277" i="1"/>
  <c r="A384" i="1"/>
  <c r="A369" i="1"/>
  <c r="A282" i="1"/>
  <c r="A471" i="1"/>
  <c r="A426" i="1"/>
  <c r="A390" i="1"/>
  <c r="A283" i="1"/>
  <c r="A363" i="1"/>
  <c r="A298" i="1"/>
  <c r="E1" i="13"/>
  <c r="F21" i="18"/>
  <c r="A385" i="1"/>
  <c r="A432" i="1"/>
  <c r="A289" i="1"/>
  <c r="A267" i="1"/>
  <c r="A382" i="1"/>
  <c r="A435" i="1"/>
  <c r="A219" i="1"/>
  <c r="A381" i="1"/>
  <c r="A428" i="1"/>
  <c r="A285" i="1"/>
  <c r="A220" i="1"/>
  <c r="A431" i="1"/>
  <c r="A477" i="1"/>
  <c r="A293" i="1"/>
  <c r="A388" i="1"/>
  <c r="A287" i="1"/>
  <c r="G23" i="18"/>
  <c r="B23" i="18" s="1"/>
  <c r="H23" i="18"/>
  <c r="A273" i="1"/>
  <c r="A274" i="1"/>
  <c r="E1" i="7" l="1"/>
  <c r="F9" i="18"/>
  <c r="H13" i="18"/>
  <c r="G13" i="18"/>
  <c r="B13" i="18" s="1"/>
  <c r="H3" i="18"/>
  <c r="G3" i="18"/>
  <c r="B3" i="18" s="1"/>
  <c r="F5" i="18"/>
  <c r="E1" i="5"/>
  <c r="L77" i="1"/>
  <c r="A276" i="1"/>
  <c r="G27" i="18"/>
  <c r="B27" i="18" s="1"/>
  <c r="H27" i="18"/>
  <c r="H7" i="18"/>
  <c r="G7" i="18"/>
  <c r="B7" i="18" s="1"/>
  <c r="H21" i="18"/>
  <c r="G21" i="18"/>
  <c r="B21" i="18" s="1"/>
  <c r="H17" i="18"/>
  <c r="G17" i="18"/>
  <c r="B17" i="18" s="1"/>
  <c r="L16" i="1"/>
  <c r="A221" i="1"/>
  <c r="H5" i="18" l="1"/>
  <c r="G5" i="18"/>
  <c r="B5" i="18" s="1"/>
  <c r="L17" i="1"/>
  <c r="A222" i="1"/>
  <c r="H9" i="18"/>
  <c r="G9" i="18"/>
  <c r="B9" i="18" s="1"/>
  <c r="L78" i="1"/>
  <c r="A299" i="1"/>
  <c r="H1" i="18"/>
  <c r="A1" i="18" s="1"/>
  <c r="L18" i="1" l="1"/>
  <c r="A223" i="1"/>
  <c r="L79" i="1"/>
  <c r="A300" i="1"/>
  <c r="L80" i="1" l="1"/>
  <c r="A301" i="1"/>
  <c r="L19" i="1"/>
  <c r="A224" i="1"/>
  <c r="L20" i="1" l="1"/>
  <c r="A225" i="1"/>
  <c r="L81" i="1"/>
  <c r="A302" i="1"/>
  <c r="L82" i="1" l="1"/>
  <c r="A303" i="1"/>
  <c r="L21" i="1"/>
  <c r="A226" i="1"/>
  <c r="L22" i="1" l="1"/>
  <c r="A227" i="1"/>
  <c r="L83" i="1"/>
  <c r="A304" i="1"/>
  <c r="L84" i="1" l="1"/>
  <c r="A305" i="1"/>
  <c r="L23" i="1"/>
  <c r="A228" i="1"/>
  <c r="L24" i="1" l="1"/>
  <c r="A229" i="1"/>
  <c r="L85" i="1"/>
  <c r="A306" i="1"/>
  <c r="L86" i="1" l="1"/>
  <c r="A307" i="1"/>
  <c r="L25" i="1"/>
  <c r="A230" i="1"/>
  <c r="L26" i="1" l="1"/>
  <c r="A231" i="1"/>
  <c r="L87" i="1"/>
  <c r="A308" i="1"/>
  <c r="L88" i="1" l="1"/>
  <c r="A309" i="1"/>
  <c r="L27" i="1"/>
  <c r="A232" i="1"/>
  <c r="L28" i="1" l="1"/>
  <c r="A233" i="1"/>
  <c r="L89" i="1"/>
  <c r="A310" i="1"/>
  <c r="L90" i="1" l="1"/>
  <c r="A311" i="1"/>
  <c r="L29" i="1"/>
  <c r="A234" i="1"/>
  <c r="L30" i="1" l="1"/>
  <c r="A235" i="1"/>
  <c r="L91" i="1"/>
  <c r="A312" i="1"/>
  <c r="L92" i="1" l="1"/>
  <c r="A313" i="1"/>
  <c r="L31" i="1"/>
  <c r="A236" i="1"/>
  <c r="L32" i="1" l="1"/>
  <c r="A237" i="1"/>
  <c r="L93" i="1"/>
  <c r="A314" i="1"/>
  <c r="L94" i="1" l="1"/>
  <c r="A315" i="1"/>
  <c r="L33" i="1"/>
  <c r="A238" i="1"/>
  <c r="L34" i="1" l="1"/>
  <c r="A239" i="1"/>
  <c r="L95" i="1"/>
  <c r="A316" i="1"/>
  <c r="L96" i="1" l="1"/>
  <c r="A317" i="1"/>
  <c r="L35" i="1"/>
  <c r="A240" i="1"/>
  <c r="L36" i="1" l="1"/>
  <c r="A241" i="1"/>
  <c r="L97" i="1"/>
  <c r="A318" i="1"/>
  <c r="L98" i="1" l="1"/>
  <c r="A319" i="1"/>
  <c r="L37" i="1"/>
  <c r="A242" i="1"/>
  <c r="A243" i="1" l="1"/>
  <c r="L38" i="1"/>
  <c r="L99" i="1"/>
  <c r="A320" i="1"/>
  <c r="L100" i="1" l="1"/>
  <c r="A321" i="1"/>
  <c r="L39" i="1"/>
  <c r="A244" i="1"/>
  <c r="L40" i="1" l="1"/>
  <c r="A245" i="1"/>
  <c r="L101" i="1"/>
  <c r="A322" i="1"/>
  <c r="L102" i="1" l="1"/>
  <c r="A323" i="1"/>
  <c r="L41" i="1"/>
  <c r="A246" i="1"/>
  <c r="L42" i="1" l="1"/>
  <c r="A247" i="1"/>
  <c r="A324" i="1"/>
  <c r="L103" i="1"/>
  <c r="L104" i="1" l="1"/>
  <c r="A325" i="1"/>
  <c r="L43" i="1"/>
  <c r="A248" i="1"/>
  <c r="L44" i="1" l="1"/>
  <c r="A249" i="1"/>
  <c r="L105" i="1"/>
  <c r="A326" i="1"/>
  <c r="L106" i="1" l="1"/>
  <c r="A327" i="1"/>
  <c r="L45" i="1"/>
  <c r="A250" i="1"/>
  <c r="A251" i="1" l="1"/>
  <c r="L46" i="1"/>
  <c r="L107" i="1"/>
  <c r="A328" i="1"/>
  <c r="L108" i="1" l="1"/>
  <c r="A329" i="1"/>
  <c r="A252" i="1"/>
  <c r="L47" i="1"/>
  <c r="L48" i="1" s="1"/>
  <c r="L49" i="1" s="1"/>
  <c r="L50" i="1" s="1"/>
  <c r="L51" i="1" s="1"/>
  <c r="L52" i="1" s="1"/>
  <c r="L53" i="1" s="1"/>
  <c r="L54" i="1" l="1"/>
  <c r="A253" i="1"/>
  <c r="L109" i="1"/>
  <c r="A330" i="1"/>
  <c r="L110" i="1" l="1"/>
  <c r="A331" i="1"/>
  <c r="L55" i="1"/>
  <c r="A254" i="1"/>
  <c r="L56" i="1" l="1"/>
  <c r="A255" i="1"/>
  <c r="L111" i="1"/>
  <c r="A332" i="1"/>
  <c r="L112" i="1" l="1"/>
  <c r="A333" i="1"/>
  <c r="A256" i="1"/>
  <c r="L57" i="1"/>
  <c r="A257" i="1" l="1"/>
  <c r="L58" i="1"/>
  <c r="L113" i="1"/>
  <c r="A334" i="1"/>
  <c r="L114" i="1" l="1"/>
  <c r="A335" i="1"/>
  <c r="A258" i="1"/>
  <c r="L59" i="1"/>
  <c r="L60" i="1" l="1"/>
  <c r="A260" i="1" s="1"/>
  <c r="A259" i="1"/>
  <c r="L115" i="1"/>
  <c r="A336" i="1"/>
  <c r="L116" i="1" l="1"/>
  <c r="A337" i="1"/>
  <c r="L117" i="1" l="1"/>
  <c r="A338" i="1"/>
  <c r="L118" i="1" l="1"/>
  <c r="A339" i="1"/>
  <c r="L119" i="1" l="1"/>
  <c r="A340" i="1"/>
  <c r="L120" i="1" l="1"/>
  <c r="A341" i="1"/>
  <c r="L121" i="1" l="1"/>
  <c r="A342" i="1"/>
  <c r="L122" i="1" l="1"/>
  <c r="A343" i="1"/>
  <c r="L123" i="1" l="1"/>
  <c r="A344" i="1"/>
  <c r="L124" i="1" l="1"/>
  <c r="A345" i="1"/>
  <c r="L125" i="1" l="1"/>
  <c r="A346" i="1"/>
  <c r="L126" i="1" l="1"/>
  <c r="A347" i="1"/>
  <c r="L127" i="1" l="1"/>
  <c r="A348" i="1"/>
  <c r="L128" i="1" l="1"/>
  <c r="A349" i="1"/>
  <c r="L129" i="1" l="1"/>
  <c r="A350" i="1"/>
  <c r="L130" i="1" l="1"/>
  <c r="A352" i="1"/>
  <c r="L131" i="1" l="1"/>
  <c r="A353" i="1"/>
  <c r="A354" i="1" l="1"/>
  <c r="L132" i="1"/>
  <c r="L133" i="1" s="1"/>
  <c r="A355" i="1" l="1"/>
  <c r="L134" i="1"/>
  <c r="A356" i="1" l="1"/>
  <c r="L135" i="1"/>
  <c r="A357" i="1" l="1"/>
  <c r="L136" i="1"/>
  <c r="A358" i="1" l="1"/>
  <c r="L137" i="1"/>
  <c r="A359" i="1" l="1"/>
  <c r="L138" i="1"/>
  <c r="A364" i="1" l="1"/>
  <c r="L139" i="1"/>
  <c r="L140" i="1" l="1"/>
  <c r="A365" i="1"/>
  <c r="A366" i="1" l="1"/>
  <c r="L141" i="1"/>
  <c r="A371" i="1" l="1"/>
  <c r="L142" i="1"/>
  <c r="A372" i="1" l="1"/>
  <c r="L143" i="1"/>
  <c r="A373" i="1" l="1"/>
  <c r="L144" i="1"/>
  <c r="A374" i="1" l="1"/>
  <c r="L145" i="1"/>
  <c r="A397" i="1" l="1"/>
  <c r="L146" i="1"/>
  <c r="A398" i="1" l="1"/>
  <c r="L147" i="1"/>
  <c r="A399" i="1" l="1"/>
  <c r="L148" i="1"/>
  <c r="A400" i="1" l="1"/>
  <c r="L149" i="1"/>
  <c r="A401" i="1" l="1"/>
  <c r="L150" i="1"/>
  <c r="A402" i="1" l="1"/>
  <c r="L151" i="1"/>
  <c r="A403" i="1" l="1"/>
  <c r="L152" i="1"/>
  <c r="A404" i="1" l="1"/>
  <c r="L153" i="1"/>
  <c r="A405" i="1" l="1"/>
  <c r="L154" i="1"/>
  <c r="A406" i="1" l="1"/>
  <c r="L155" i="1"/>
  <c r="A407" i="1" l="1"/>
  <c r="L156" i="1"/>
  <c r="L157" i="1" l="1"/>
  <c r="A408" i="1"/>
  <c r="A409" i="1" l="1"/>
  <c r="L158" i="1"/>
  <c r="L159" i="1" s="1"/>
  <c r="L160" i="1" s="1"/>
  <c r="A410" i="1" l="1"/>
  <c r="L161" i="1"/>
  <c r="A411" i="1" l="1"/>
  <c r="L162" i="1"/>
  <c r="A412" i="1" l="1"/>
  <c r="L163" i="1"/>
  <c r="A413" i="1" l="1"/>
  <c r="L164" i="1"/>
  <c r="A414" i="1" l="1"/>
  <c r="L165" i="1"/>
  <c r="A415" i="1" l="1"/>
  <c r="L166" i="1"/>
  <c r="L167" i="1" s="1"/>
  <c r="L168" i="1" s="1"/>
  <c r="A416" i="1" l="1"/>
  <c r="L169" i="1"/>
  <c r="A417" i="1" l="1"/>
  <c r="L170" i="1"/>
  <c r="A418" i="1" l="1"/>
  <c r="L171" i="1"/>
  <c r="L172" i="1" l="1"/>
  <c r="A419" i="1"/>
  <c r="L173" i="1" l="1"/>
  <c r="A441" i="1"/>
  <c r="A442" i="1" l="1"/>
  <c r="L174" i="1"/>
  <c r="A443" i="1" l="1"/>
  <c r="L175" i="1"/>
  <c r="A444" i="1" l="1"/>
  <c r="L176" i="1"/>
  <c r="A445" i="1" l="1"/>
  <c r="L177" i="1"/>
  <c r="L178" i="1" l="1"/>
  <c r="A446" i="1"/>
  <c r="A447" i="1" l="1"/>
  <c r="L179" i="1"/>
  <c r="L180" i="1" l="1"/>
  <c r="A448" i="1"/>
  <c r="A449" i="1" l="1"/>
  <c r="L181" i="1"/>
  <c r="A450" i="1" l="1"/>
  <c r="L182" i="1"/>
  <c r="A451" i="1" l="1"/>
  <c r="L183" i="1"/>
  <c r="A452" i="1" l="1"/>
  <c r="L184" i="1"/>
  <c r="L185" i="1" s="1"/>
  <c r="L186" i="1" l="1"/>
  <c r="A453" i="1"/>
  <c r="A454" i="1" l="1"/>
  <c r="L187" i="1"/>
  <c r="L188" i="1" l="1"/>
  <c r="A455" i="1"/>
  <c r="L189" i="1" l="1"/>
  <c r="A456" i="1"/>
  <c r="L190" i="1" l="1"/>
  <c r="A457" i="1"/>
  <c r="L191" i="1" l="1"/>
  <c r="A458" i="1"/>
  <c r="L192" i="1" l="1"/>
  <c r="A459" i="1"/>
  <c r="A460" i="1" l="1"/>
  <c r="L193" i="1"/>
  <c r="L194" i="1" l="1"/>
  <c r="A461" i="1"/>
  <c r="L195" i="1" l="1"/>
  <c r="A462" i="1"/>
  <c r="L196" i="1" l="1"/>
  <c r="A463" i="1"/>
  <c r="L197" i="1" l="1"/>
  <c r="A464" i="1"/>
  <c r="L198" i="1" l="1"/>
  <c r="A465" i="1"/>
  <c r="L199" i="1" l="1"/>
  <c r="A466" i="1"/>
  <c r="L201" i="1" l="1"/>
  <c r="A467" i="1"/>
  <c r="A468" i="1" l="1"/>
  <c r="L202" i="1"/>
  <c r="L203" i="1" l="1"/>
  <c r="A482" i="1"/>
  <c r="A483" i="1" l="1"/>
  <c r="L204" i="1"/>
  <c r="A484" i="1" l="1"/>
  <c r="L205" i="1"/>
  <c r="A485" i="1" l="1"/>
  <c r="L206" i="1"/>
  <c r="A486" i="1" s="1"/>
</calcChain>
</file>

<file path=xl/sharedStrings.xml><?xml version="1.0" encoding="utf-8"?>
<sst xmlns="http://schemas.openxmlformats.org/spreadsheetml/2006/main" count="1053" uniqueCount="394">
  <si>
    <t>РАЗДЕЛ 1. ОБЩАЯ ИНФОРМАЦИЯ</t>
  </si>
  <si>
    <t>№ п/п</t>
  </si>
  <si>
    <t>показатель</t>
  </si>
  <si>
    <t>макс</t>
  </si>
  <si>
    <t>брать</t>
  </si>
  <si>
    <r>
      <rPr>
        <b/>
        <sz val="11"/>
        <color indexed="8"/>
        <rFont val="Calibri"/>
        <family val="2"/>
        <charset val="204"/>
      </rPr>
      <t xml:space="preserve">1. Название компании </t>
    </r>
    <r>
      <rPr>
        <b/>
        <i/>
        <sz val="11"/>
        <color indexed="8"/>
        <rFont val="Calibri"/>
        <family val="2"/>
        <charset val="204"/>
      </rPr>
      <t>(Рус.)</t>
    </r>
  </si>
  <si>
    <t>-- выберите --</t>
  </si>
  <si>
    <r>
      <rPr>
        <b/>
        <sz val="11"/>
        <color indexed="8"/>
        <rFont val="Calibri"/>
        <family val="2"/>
        <charset val="204"/>
      </rPr>
      <t xml:space="preserve">2. Название компании </t>
    </r>
    <r>
      <rPr>
        <b/>
        <i/>
        <sz val="11"/>
        <color indexed="8"/>
        <rFont val="Calibri"/>
        <family val="2"/>
        <charset val="204"/>
      </rPr>
      <t>(Англ.)</t>
    </r>
  </si>
  <si>
    <t>да</t>
  </si>
  <si>
    <r>
      <rPr>
        <b/>
        <sz val="11"/>
        <color indexed="8"/>
        <rFont val="Calibri"/>
        <family val="2"/>
        <charset val="204"/>
      </rPr>
      <t xml:space="preserve">3. Год основания компании. </t>
    </r>
    <r>
      <rPr>
        <b/>
        <i/>
        <sz val="11"/>
        <color indexed="49"/>
        <rFont val="Calibri"/>
        <family val="2"/>
        <charset val="204"/>
      </rPr>
      <t>Для иностранных компаний — год основания головного российского офиса</t>
    </r>
  </si>
  <si>
    <t>нет</t>
  </si>
  <si>
    <r>
      <rPr>
        <b/>
        <sz val="11"/>
        <rFont val="Calibri"/>
        <family val="2"/>
        <charset val="204"/>
      </rPr>
      <t xml:space="preserve">4. Головной офис компании в России (город)     </t>
    </r>
    <r>
      <rPr>
        <b/>
        <i/>
        <sz val="11"/>
        <color indexed="49"/>
        <rFont val="Calibri"/>
        <family val="2"/>
        <charset val="204"/>
      </rPr>
      <t>Для иностранных компаний — головной офис (центр разработки) в России</t>
    </r>
  </si>
  <si>
    <t>5. Адрес веб-сайта компании</t>
  </si>
  <si>
    <t>6. Адрес электронной почты</t>
  </si>
  <si>
    <t>ключевой рынок</t>
  </si>
  <si>
    <t>7. Контактный телефон</t>
  </si>
  <si>
    <t>отдельные проекты</t>
  </si>
  <si>
    <t>8. Информация о контактном лице</t>
  </si>
  <si>
    <t>Контактное лицо (ФИО)</t>
  </si>
  <si>
    <t>Контактное лицо (должность)</t>
  </si>
  <si>
    <r>
      <rPr>
        <b/>
        <sz val="11"/>
        <color indexed="8"/>
        <rFont val="Calibri"/>
        <family val="2"/>
        <charset val="204"/>
      </rPr>
      <t xml:space="preserve">9. Специализация компании.                                                </t>
    </r>
    <r>
      <rPr>
        <sz val="11"/>
        <color indexed="8"/>
        <rFont val="Calibri"/>
        <family val="2"/>
        <charset val="204"/>
      </rPr>
      <t>Отметьте все необходимое (хотя бы 1 вариант)</t>
    </r>
  </si>
  <si>
    <t>Заказная разработка</t>
  </si>
  <si>
    <t>затрудняюсь ответить</t>
  </si>
  <si>
    <t>Мобильные приложения</t>
  </si>
  <si>
    <t>менее 5%</t>
  </si>
  <si>
    <t>Разработка сайтов</t>
  </si>
  <si>
    <t>от 5 до 10%</t>
  </si>
  <si>
    <t>Компьютерные игры</t>
  </si>
  <si>
    <t>более 10%</t>
  </si>
  <si>
    <t>Встроенное ПО (в оборудование, устройства)</t>
  </si>
  <si>
    <t>Навигационные системы и Геоинформационные системы (ГИС)</t>
  </si>
  <si>
    <t>Тиражируемые системы управления предприятием (учреждением), автоматизации документооборота, проектирования и производственного процесса (ERP, CRM, ECM, СЭД, САПР, АСУ ТП и другие)</t>
  </si>
  <si>
    <t>От $10 до $20</t>
  </si>
  <si>
    <t>Решения в сфере информационной безопасности</t>
  </si>
  <si>
    <t>От $20 до $40</t>
  </si>
  <si>
    <t>Разработка базового ПО (СУБД, ОС, офисные приложения, языки и инструменты программирования)</t>
  </si>
  <si>
    <t>Более $40 </t>
  </si>
  <si>
    <t>Проведение научных исследований</t>
  </si>
  <si>
    <t>Другое</t>
  </si>
  <si>
    <t>основная специализация (выберите)</t>
  </si>
  <si>
    <t>-- выберите из предыдущих вариантов --</t>
  </si>
  <si>
    <t>динамика больше</t>
  </si>
  <si>
    <t>РАЗДЕЛ 2. ГЕОГРАФИЯ: ФИЛИАЛЫ, ПРЕДСТАВИТЕЛЬСТВА И ЗНАЧИМОСТЬ РЫНКОВ</t>
  </si>
  <si>
    <r>
      <rPr>
        <b/>
        <sz val="11"/>
        <color indexed="8"/>
        <rFont val="Calibri"/>
        <family val="2"/>
        <charset val="204"/>
      </rPr>
      <t xml:space="preserve">10. Есть ли у вашей компании и/или планируются к открытию в 2018-2019 годах </t>
    </r>
    <r>
      <rPr>
        <b/>
        <u/>
        <sz val="11"/>
        <color indexed="8"/>
        <rFont val="Calibri"/>
        <family val="2"/>
        <charset val="204"/>
      </rPr>
      <t>удалённые центры разработки</t>
    </r>
    <r>
      <rPr>
        <b/>
        <sz val="11"/>
        <color indexed="8"/>
        <rFont val="Calibri"/>
        <family val="2"/>
        <charset val="204"/>
      </rPr>
      <t xml:space="preserve"> (филиалы)в других городах/странах?</t>
    </r>
    <r>
      <rPr>
        <sz val="11"/>
        <color indexed="53"/>
        <rFont val="Calibri"/>
        <family val="2"/>
        <charset val="204"/>
      </rPr>
      <t xml:space="preserve"> </t>
    </r>
    <r>
      <rPr>
        <b/>
        <sz val="11"/>
        <color indexed="30"/>
        <rFont val="Calibri"/>
        <family val="2"/>
        <charset val="204"/>
      </rPr>
      <t>Укажите «да» в конкретной ячейке или «нет» в нижней строке «Нет центров разработки». Нужен  хотя бы 1 вариант в каждом из столбцов.</t>
    </r>
  </si>
  <si>
    <t>увеличение</t>
  </si>
  <si>
    <t>Удаленные центры разработки</t>
  </si>
  <si>
    <t>2018 (прогноз)</t>
  </si>
  <si>
    <t>уменьшение</t>
  </si>
  <si>
    <t>(функционируют)</t>
  </si>
  <si>
    <t>(открыты новые или планируется открыть)</t>
  </si>
  <si>
    <t>(планы)</t>
  </si>
  <si>
    <t>В других городах России</t>
  </si>
  <si>
    <t>без изменений</t>
  </si>
  <si>
    <t>В городах Беларуси</t>
  </si>
  <si>
    <t>В городах Украины</t>
  </si>
  <si>
    <t>Стажировка студентов</t>
  </si>
  <si>
    <t>В других странах бывшего СССР</t>
  </si>
  <si>
    <t>Трудоустройство выпускников</t>
  </si>
  <si>
    <t>В США или Канаде</t>
  </si>
  <si>
    <t>Курсы для сотрудников</t>
  </si>
  <si>
    <t>В Германии и немецко-говорящих странах</t>
  </si>
  <si>
    <t>В Скандинавии и Финляндии</t>
  </si>
  <si>
    <t>В других странах Западной Европы</t>
  </si>
  <si>
    <t>В странах Центральной и Восточной Европы</t>
  </si>
  <si>
    <t>В странах Южной и Восточной Азии</t>
  </si>
  <si>
    <t>В странах Африки </t>
  </si>
  <si>
    <t>выручка</t>
  </si>
  <si>
    <t>В странах Южной и Центральной Америки</t>
  </si>
  <si>
    <t>всего</t>
  </si>
  <si>
    <t>В странах Ближнего Востока</t>
  </si>
  <si>
    <t>менее $1 млн.  </t>
  </si>
  <si>
    <t>В Австралии</t>
  </si>
  <si>
    <t>от $1 млн. до $5 млн.</t>
  </si>
  <si>
    <t>Нет центров разработки</t>
  </si>
  <si>
    <t>от $5 млн. до $20 млн.</t>
  </si>
  <si>
    <r>
      <rPr>
        <b/>
        <sz val="11"/>
        <color indexed="8"/>
        <rFont val="Calibri"/>
        <family val="2"/>
        <charset val="204"/>
      </rPr>
      <t xml:space="preserve">11. Есть ли у вашей компании и/или планируются к открытию в 2018-2019 годах офисы продаж в других городах/странах?  </t>
    </r>
    <r>
      <rPr>
        <sz val="11"/>
        <color indexed="53"/>
        <rFont val="Calibri"/>
        <family val="2"/>
        <charset val="204"/>
      </rPr>
      <t>Укажите «да» в конкретной ячейке или «нет» в нижней строке «Нет центров разработки». Нужен  хотя бы 1 вариант в каждом из столбцов.</t>
    </r>
  </si>
  <si>
    <t xml:space="preserve">от $20 млн. до $100 млн. </t>
  </si>
  <si>
    <t>Торговые представительства</t>
  </si>
  <si>
    <t>свыше $100 млн.</t>
  </si>
  <si>
    <t>свыше $500 млн.</t>
  </si>
  <si>
    <t xml:space="preserve">Ваша компания является Центром оффшорной разработки (предоставления других ИТ-услуг), принадлежащим заказчику </t>
  </si>
  <si>
    <t>Ваша компания разрабатывает ПО (предоставляет другие ИТ-услуги) по требованию Заказчика</t>
  </si>
  <si>
    <t>Оплата по затраченному времени (time&amp;material)</t>
  </si>
  <si>
    <t>Оплата по фиксированной цене (fixed price)</t>
  </si>
  <si>
    <t>Нет  представительств</t>
  </si>
  <si>
    <t>клиент</t>
  </si>
  <si>
    <r>
      <rPr>
        <sz val="11"/>
        <color indexed="8"/>
        <rFont val="Calibri"/>
        <family val="2"/>
        <charset val="204"/>
      </rPr>
      <t xml:space="preserve">12. </t>
    </r>
    <r>
      <rPr>
        <b/>
        <sz val="11"/>
        <color indexed="8"/>
        <rFont val="Calibri"/>
        <family val="2"/>
        <charset val="204"/>
      </rPr>
      <t>Укажите, пожалуйста, географическое месторасположение Ваших клиентов и степень значимости рынка для Вашей компании.</t>
    </r>
  </si>
  <si>
    <t>Системный интегратор (System integrator)</t>
  </si>
  <si>
    <t>Клиенты</t>
  </si>
  <si>
    <t>2017 (факт)</t>
  </si>
  <si>
    <t>2018 (факт и прогноз)</t>
  </si>
  <si>
    <t>2019 (прогноз)</t>
  </si>
  <si>
    <t>Конечный клиент (EndUser)</t>
  </si>
  <si>
    <t xml:space="preserve">Разработчик ПО (ISV) </t>
  </si>
  <si>
    <t>услуги</t>
  </si>
  <si>
    <t>Разработка ПО</t>
  </si>
  <si>
    <t>Тестирование ПО</t>
  </si>
  <si>
    <t>Техническая поддержка ИТ-систем</t>
  </si>
  <si>
    <t>ИТ-консалтинг</t>
  </si>
  <si>
    <t xml:space="preserve">Другое_____________________________________________________________ </t>
  </si>
  <si>
    <t>РАЗДЕЛ 3. ЯЗЫКИ ПРОГРАММИРОВАНИЯ И ПРОГРАММНЫЕ ТЕХНОЛОГИИ</t>
  </si>
  <si>
    <t>-3 очень негативное</t>
  </si>
  <si>
    <r>
      <rPr>
        <sz val="11"/>
        <color indexed="8"/>
        <rFont val="Calibri"/>
        <family val="2"/>
        <charset val="204"/>
      </rPr>
      <t>13.</t>
    </r>
    <r>
      <rPr>
        <b/>
        <sz val="7"/>
        <color indexed="8"/>
        <rFont val="Times New Roman"/>
        <family val="1"/>
        <charset val="204"/>
      </rPr>
      <t xml:space="preserve"> </t>
    </r>
    <r>
      <rPr>
        <b/>
        <sz val="11"/>
        <color indexed="8"/>
        <rFont val="Calibri"/>
        <family val="2"/>
        <charset val="204"/>
      </rPr>
      <t xml:space="preserve">Какой язык программирования (технология) является </t>
    </r>
    <r>
      <rPr>
        <b/>
        <u/>
        <sz val="11"/>
        <color indexed="8"/>
        <rFont val="Calibri"/>
        <family val="2"/>
        <charset val="204"/>
      </rPr>
      <t>основным</t>
    </r>
    <r>
      <rPr>
        <b/>
        <sz val="11"/>
        <color indexed="8"/>
        <rFont val="Calibri"/>
        <family val="2"/>
        <charset val="204"/>
      </rPr>
      <t xml:space="preserve"> в Вашей компании? </t>
    </r>
    <r>
      <rPr>
        <sz val="11"/>
        <color indexed="8"/>
        <rFont val="Calibri"/>
        <family val="2"/>
        <charset val="204"/>
      </rPr>
      <t>Выберите из списка</t>
    </r>
  </si>
  <si>
    <t>-2 негативно</t>
  </si>
  <si>
    <r>
      <rPr>
        <sz val="11"/>
        <color indexed="8"/>
        <rFont val="Calibri"/>
        <family val="2"/>
        <charset val="204"/>
      </rPr>
      <t>14.</t>
    </r>
    <r>
      <rPr>
        <b/>
        <sz val="7"/>
        <color indexed="8"/>
        <rFont val="Times New Roman"/>
        <family val="1"/>
        <charset val="204"/>
      </rPr>
      <t> </t>
    </r>
    <r>
      <rPr>
        <b/>
        <sz val="11"/>
        <color indexed="8"/>
        <rFont val="Calibri"/>
        <family val="2"/>
        <charset val="204"/>
      </rPr>
      <t>Какие другие (кроме основного)  языки программирования/ технологии используются в Вашей компании для работы?</t>
    </r>
    <r>
      <rPr>
        <sz val="11"/>
        <color indexed="8"/>
        <rFont val="Calibri"/>
        <family val="2"/>
        <charset val="204"/>
      </rPr>
      <t xml:space="preserve"> (возможно несколько вариантов) </t>
    </r>
  </si>
  <si>
    <t xml:space="preserve">С </t>
  </si>
  <si>
    <t>-1 негативно но влияние незначительное</t>
  </si>
  <si>
    <t xml:space="preserve">С++ </t>
  </si>
  <si>
    <t>0 никакого воздействия</t>
  </si>
  <si>
    <t xml:space="preserve">С# </t>
  </si>
  <si>
    <t>+1 позитивно, но влияние незначительное</t>
  </si>
  <si>
    <t>Java</t>
  </si>
  <si>
    <t>+2 позитивно</t>
  </si>
  <si>
    <t xml:space="preserve">Delphi </t>
  </si>
  <si>
    <t>+3 очень позитивное</t>
  </si>
  <si>
    <t xml:space="preserve">.Net </t>
  </si>
  <si>
    <t xml:space="preserve">PHP </t>
  </si>
  <si>
    <t>динамика лучше</t>
  </si>
  <si>
    <t>HTML5 </t>
  </si>
  <si>
    <t>Другое (укажите)</t>
  </si>
  <si>
    <t>улучшение</t>
  </si>
  <si>
    <t>15. Какие инструментальные средства используются в Вашей компании?</t>
  </si>
  <si>
    <t>MS Visual Studio</t>
  </si>
  <si>
    <t>ухудшение</t>
  </si>
  <si>
    <t xml:space="preserve">Eclipse </t>
  </si>
  <si>
    <t xml:space="preserve">Intellij IDEA </t>
  </si>
  <si>
    <t xml:space="preserve">Xcode </t>
  </si>
  <si>
    <t>NetBeans</t>
  </si>
  <si>
    <t xml:space="preserve">WebStorm </t>
  </si>
  <si>
    <t>Не используем</t>
  </si>
  <si>
    <r>
      <rPr>
        <b/>
        <sz val="11"/>
        <color indexed="8"/>
        <rFont val="Calibri"/>
        <family val="2"/>
        <charset val="204"/>
      </rPr>
      <t xml:space="preserve">16.  С какими ОС (операционными системами) работает Ваша компания? </t>
    </r>
    <r>
      <rPr>
        <sz val="11"/>
        <color indexed="8"/>
        <rFont val="Calibri"/>
        <family val="2"/>
        <charset val="204"/>
      </rPr>
      <t>Отметьте все необходимое.</t>
    </r>
  </si>
  <si>
    <t xml:space="preserve">MS Windows </t>
  </si>
  <si>
    <t xml:space="preserve">Mac OS </t>
  </si>
  <si>
    <t>GNU Linux Family</t>
  </si>
  <si>
    <t>-- выберите один из предыдущих вариантов --</t>
  </si>
  <si>
    <t>Open/Free/NetBSD</t>
  </si>
  <si>
    <t>Oracle Solaris</t>
  </si>
  <si>
    <t>iOS</t>
  </si>
  <si>
    <t xml:space="preserve">Android </t>
  </si>
  <si>
    <t>MS Windows Mobile</t>
  </si>
  <si>
    <t>MS Windows Phone</t>
  </si>
  <si>
    <t>Tizen</t>
  </si>
  <si>
    <r>
      <rPr>
        <b/>
        <sz val="11"/>
        <color indexed="8"/>
        <rFont val="Calibri"/>
        <family val="2"/>
        <charset val="204"/>
      </rPr>
      <t xml:space="preserve">17. С какими СУБД (системами управления базами данных) работает ваша компания? </t>
    </r>
    <r>
      <rPr>
        <sz val="11"/>
        <color indexed="8"/>
        <rFont val="Calibri"/>
        <family val="2"/>
        <charset val="204"/>
      </rPr>
      <t>Отметьте все необходимое.</t>
    </r>
  </si>
  <si>
    <t xml:space="preserve">MS SQL </t>
  </si>
  <si>
    <t>Oracle</t>
  </si>
  <si>
    <t xml:space="preserve">MySQL </t>
  </si>
  <si>
    <t>MS Access</t>
  </si>
  <si>
    <t xml:space="preserve">Firebird </t>
  </si>
  <si>
    <t xml:space="preserve">PostgreSQL </t>
  </si>
  <si>
    <t xml:space="preserve">MSDE </t>
  </si>
  <si>
    <t xml:space="preserve">IBM DB2 </t>
  </si>
  <si>
    <t>Линтер</t>
  </si>
  <si>
    <t xml:space="preserve">InterBase </t>
  </si>
  <si>
    <t xml:space="preserve">Sybase ASA </t>
  </si>
  <si>
    <t>SQLite</t>
  </si>
  <si>
    <t xml:space="preserve">IBM Informix </t>
  </si>
  <si>
    <t xml:space="preserve">SAP DB </t>
  </si>
  <si>
    <t>Sybase</t>
  </si>
  <si>
    <t xml:space="preserve">Paradox </t>
  </si>
  <si>
    <t>РАЗДЕЛ 4. РАЗВИТИЕ ИНФРАСТРУКТУРЫ</t>
  </si>
  <si>
    <r>
      <rPr>
        <b/>
        <sz val="11"/>
        <color indexed="8"/>
        <rFont val="Calibri"/>
        <family val="2"/>
        <charset val="204"/>
      </rPr>
      <t>18.</t>
    </r>
    <r>
      <rPr>
        <b/>
        <sz val="7"/>
        <color indexed="8"/>
        <rFont val="Times New Roman"/>
        <family val="1"/>
        <charset val="204"/>
      </rPr>
      <t>  </t>
    </r>
    <r>
      <rPr>
        <b/>
        <sz val="11"/>
        <color indexed="8"/>
        <rFont val="Calibri"/>
        <family val="2"/>
        <charset val="204"/>
      </rPr>
      <t>Оцените долю затрат на телекоммуникационные услуги, маркетинг, аренду офисной площади и НИР Вашей компании в 2017 году (</t>
    </r>
    <r>
      <rPr>
        <b/>
        <sz val="11"/>
        <color indexed="53"/>
        <rFont val="Calibri"/>
        <family val="2"/>
        <charset val="204"/>
      </rPr>
      <t>% от всех расходов Вашей компании</t>
    </r>
    <r>
      <rPr>
        <b/>
        <sz val="11"/>
        <color indexed="8"/>
        <rFont val="Calibri"/>
        <family val="2"/>
        <charset val="204"/>
      </rPr>
      <t>)</t>
    </r>
  </si>
  <si>
    <t>Телекоммуникационные услуги</t>
  </si>
  <si>
    <t>___%</t>
  </si>
  <si>
    <t>Маркетинг</t>
  </si>
  <si>
    <t>Аренда офисной площади</t>
  </si>
  <si>
    <t>НИР</t>
  </si>
  <si>
    <t>19. Как изменилась стоимость оплаты за аренду офисных помещений в рублевом выражении в 2017 году</t>
  </si>
  <si>
    <t>РАЗДЕЛ 5. ЧЕЛОВЕЧЕСКИЕ РЕСУРСЫ</t>
  </si>
  <si>
    <r>
      <rPr>
        <b/>
        <sz val="11"/>
        <color indexed="8"/>
        <rFont val="Calibri"/>
        <family val="2"/>
        <charset val="204"/>
      </rPr>
      <t xml:space="preserve">20. Какова </t>
    </r>
    <r>
      <rPr>
        <b/>
        <u/>
        <sz val="11"/>
        <color indexed="8"/>
        <rFont val="Calibri"/>
        <family val="2"/>
        <charset val="204"/>
      </rPr>
      <t>общая</t>
    </r>
    <r>
      <rPr>
        <b/>
        <sz val="11"/>
        <color indexed="8"/>
        <rFont val="Calibri"/>
        <family val="2"/>
        <charset val="204"/>
      </rPr>
      <t xml:space="preserve"> численность сотрудников вашей компании по состоянию на конец 2017 года? </t>
    </r>
  </si>
  <si>
    <t>___чел.</t>
  </si>
  <si>
    <t>не значима совсем</t>
  </si>
  <si>
    <r>
      <rPr>
        <b/>
        <sz val="11"/>
        <color indexed="8"/>
        <rFont val="Calibri"/>
        <family val="2"/>
        <charset val="204"/>
      </rPr>
      <t xml:space="preserve">21. Какова численность </t>
    </r>
    <r>
      <rPr>
        <b/>
        <u/>
        <sz val="11"/>
        <color indexed="8"/>
        <rFont val="Calibri"/>
        <family val="2"/>
        <charset val="204"/>
      </rPr>
      <t>профильных технических</t>
    </r>
    <r>
      <rPr>
        <b/>
        <sz val="11"/>
        <color indexed="8"/>
        <rFont val="Calibri"/>
        <family val="2"/>
        <charset val="204"/>
      </rPr>
      <t xml:space="preserve"> сотрудников вашей компании по состоянию на конец 2017 года? </t>
    </r>
  </si>
  <si>
    <t>низкая значимость</t>
  </si>
  <si>
    <r>
      <rPr>
        <b/>
        <sz val="11"/>
        <color indexed="8"/>
        <rFont val="Calibri"/>
        <family val="2"/>
        <charset val="204"/>
      </rPr>
      <t>22.</t>
    </r>
    <r>
      <rPr>
        <b/>
        <sz val="7"/>
        <color indexed="8"/>
        <rFont val="Times New Roman"/>
        <family val="1"/>
        <charset val="204"/>
      </rPr>
      <t xml:space="preserve">     </t>
    </r>
    <r>
      <rPr>
        <b/>
        <sz val="11"/>
        <color indexed="8"/>
        <rFont val="Calibri"/>
        <family val="2"/>
        <charset val="204"/>
      </rPr>
      <t>Как за 2017 год изменилась общая численность сотрудников вашей компании?</t>
    </r>
  </si>
  <si>
    <t>средняя значимость</t>
  </si>
  <si>
    <t>23. Какая доля от новых сотрудников, нанятых в 2017 г., прибыла из-за рубежа (Украины, Белоруссии, Казахстана и других стран ближнего и дальнего зарубежья)?</t>
  </si>
  <si>
    <t>%</t>
  </si>
  <si>
    <t>высокая значимость</t>
  </si>
  <si>
    <t>24. Является ли миграция сотрудников за рубеж проблемой для Вашей компании?</t>
  </si>
  <si>
    <t>затрудняюсь оценить</t>
  </si>
  <si>
    <r>
      <rPr>
        <b/>
        <sz val="11"/>
        <color indexed="8"/>
        <rFont val="Calibri"/>
        <family val="2"/>
        <charset val="204"/>
      </rPr>
      <t>25.</t>
    </r>
    <r>
      <rPr>
        <sz val="7"/>
        <color indexed="8"/>
        <rFont val="Times New Roman"/>
        <family val="1"/>
        <charset val="204"/>
      </rPr>
      <t xml:space="preserve"> </t>
    </r>
    <r>
      <rPr>
        <b/>
        <sz val="11"/>
        <color indexed="8"/>
        <rFont val="Calibri"/>
        <family val="2"/>
        <charset val="204"/>
      </rPr>
      <t>Как изменится количество сотрудников в течение текущего 2018 года (прогноз), %</t>
    </r>
  </si>
  <si>
    <r>
      <rPr>
        <b/>
        <sz val="11"/>
        <color indexed="8"/>
        <rFont val="Calibri"/>
        <family val="2"/>
        <charset val="204"/>
      </rPr>
      <t xml:space="preserve">26. Как изменился средний уровень заработной платы профильных специалистов в российском </t>
    </r>
    <r>
      <rPr>
        <b/>
        <u/>
        <sz val="11"/>
        <color indexed="8"/>
        <rFont val="Calibri"/>
        <family val="2"/>
        <charset val="204"/>
      </rPr>
      <t>головном офисе</t>
    </r>
    <r>
      <rPr>
        <b/>
        <sz val="11"/>
        <color indexed="8"/>
        <rFont val="Calibri"/>
        <family val="2"/>
        <charset val="204"/>
      </rPr>
      <t xml:space="preserve"> вашей компании за календарный 2017 год (</t>
    </r>
    <r>
      <rPr>
        <b/>
        <sz val="11"/>
        <color indexed="53"/>
        <rFont val="Calibri"/>
        <family val="2"/>
        <charset val="204"/>
      </rPr>
      <t>в рублевом выражении</t>
    </r>
    <r>
      <rPr>
        <b/>
        <sz val="11"/>
        <color indexed="8"/>
        <rFont val="Calibri"/>
        <family val="2"/>
        <charset val="204"/>
      </rPr>
      <t>)?</t>
    </r>
  </si>
  <si>
    <r>
      <rPr>
        <b/>
        <sz val="11"/>
        <color indexed="8"/>
        <rFont val="Calibri"/>
        <family val="2"/>
        <charset val="204"/>
      </rPr>
      <t>27.</t>
    </r>
    <r>
      <rPr>
        <sz val="7"/>
        <color indexed="8"/>
        <rFont val="Times New Roman"/>
        <family val="1"/>
        <charset val="204"/>
      </rPr>
      <t xml:space="preserve"> </t>
    </r>
    <r>
      <rPr>
        <b/>
        <sz val="11"/>
        <color indexed="8"/>
        <rFont val="Calibri"/>
        <family val="2"/>
        <charset val="204"/>
      </rPr>
      <t>Оцените, пожалуйста, процент профильных сотрудников, покинувших вашу компанию в 2017 году (доля от средней численности персонала, рассчитываемую как средний показатель от численности на начало года и на конец года)</t>
    </r>
  </si>
  <si>
    <t>28. Оцените, пожалуйста, процент специалистов-выпускников вузов, принятых на работу в 2017 году  (доля от средней численности персонала)</t>
  </si>
  <si>
    <t>29. Перечислите вузы, выпускники которых пользуются наибольшим спросом среди ИТ-компаний вашего региона. Укажите, по возможности, официальное название каждого вуза</t>
  </si>
  <si>
    <r>
      <rPr>
        <b/>
        <sz val="11"/>
        <color indexed="8"/>
        <rFont val="Calibri"/>
        <family val="2"/>
        <charset val="204"/>
      </rPr>
      <t xml:space="preserve">30. Какие партнерские программы осуществляются вашей компанией совместно с вузами? </t>
    </r>
    <r>
      <rPr>
        <sz val="11"/>
        <color indexed="8"/>
        <rFont val="Calibri"/>
        <family val="2"/>
        <charset val="204"/>
      </rPr>
      <t>Отметьте все необходимое</t>
    </r>
  </si>
  <si>
    <t>не привлекаем</t>
  </si>
  <si>
    <t>РАЗДЕЛ 6. ПОКАЗАТЕЛИ ДЕЯТЕЛЬНОСТИ КОМПАНИИ</t>
  </si>
  <si>
    <t>менее  $1 млн.</t>
  </si>
  <si>
    <r>
      <rPr>
        <b/>
        <sz val="11"/>
        <color indexed="8"/>
        <rFont val="Calibri"/>
        <family val="2"/>
        <charset val="204"/>
      </rPr>
      <t xml:space="preserve">31. Укажите, пожалуйста, диапазон годового оборота (выручки) вашей компании в 2017 году? </t>
    </r>
    <r>
      <rPr>
        <b/>
        <sz val="11"/>
        <color indexed="10"/>
        <rFont val="Calibri"/>
        <family val="2"/>
        <charset val="204"/>
      </rPr>
      <t>Напоминаем, что ВСЕ данные, указанные в данной анкете, остаются КОНФИДЕНЦИАЛЬНЫМИ. Информация в отчёте публикуется только в обобщенном обезличенном виде.</t>
    </r>
  </si>
  <si>
    <t xml:space="preserve">от $1 млн. до $5 млн. </t>
  </si>
  <si>
    <r>
      <rPr>
        <b/>
        <sz val="11"/>
        <color indexed="8"/>
        <rFont val="Calibri"/>
        <family val="2"/>
        <charset val="204"/>
      </rPr>
      <t xml:space="preserve">32. Если возможно, укажите более точный размер оборота в 2017 году (млн. </t>
    </r>
    <r>
      <rPr>
        <b/>
        <u/>
        <sz val="11"/>
        <color indexed="8"/>
        <rFont val="Calibri"/>
        <family val="2"/>
        <charset val="204"/>
      </rPr>
      <t>ДОЛЛАРОВ</t>
    </r>
    <r>
      <rPr>
        <b/>
        <sz val="11"/>
        <color indexed="8"/>
        <rFont val="Calibri"/>
        <family val="2"/>
        <charset val="204"/>
      </rPr>
      <t xml:space="preserve">). </t>
    </r>
    <r>
      <rPr>
        <b/>
        <sz val="11"/>
        <color indexed="52"/>
        <rFont val="Calibri"/>
        <family val="2"/>
        <charset val="204"/>
      </rPr>
      <t xml:space="preserve">Справочно (для пересчета рублевого оборота в долларовый) среднегодовой курс ЦБ РФ — </t>
    </r>
    <r>
      <rPr>
        <b/>
        <u/>
        <sz val="11"/>
        <color indexed="52"/>
        <rFont val="Calibri"/>
        <family val="2"/>
        <charset val="204"/>
      </rPr>
      <t>58,3 руб./USD</t>
    </r>
  </si>
  <si>
    <t>___млн. USD</t>
  </si>
  <si>
    <t xml:space="preserve">от $5 млн. до $10 млн. </t>
  </si>
  <si>
    <r>
      <rPr>
        <b/>
        <sz val="11"/>
        <color indexed="8"/>
        <rFont val="Calibri"/>
        <family val="2"/>
        <charset val="204"/>
      </rPr>
      <t>33. Как изменился (</t>
    </r>
    <r>
      <rPr>
        <b/>
        <sz val="11"/>
        <color indexed="53"/>
        <rFont val="Calibri"/>
        <family val="2"/>
        <charset val="204"/>
      </rPr>
      <t>на сколько в процентах</t>
    </r>
    <r>
      <rPr>
        <b/>
        <sz val="11"/>
        <color indexed="8"/>
        <rFont val="Calibri"/>
        <family val="2"/>
        <charset val="204"/>
      </rPr>
      <t xml:space="preserve">) оборот вашей компании в 2017 году в сравнении с 2016 годом в </t>
    </r>
    <r>
      <rPr>
        <b/>
        <u/>
        <sz val="11"/>
        <color indexed="8"/>
        <rFont val="Calibri"/>
        <family val="2"/>
        <charset val="204"/>
      </rPr>
      <t>ДОЛЛАРОВОМ</t>
    </r>
    <r>
      <rPr>
        <b/>
        <sz val="11"/>
        <color indexed="8"/>
        <rFont val="Calibri"/>
        <family val="2"/>
        <charset val="204"/>
      </rPr>
      <t xml:space="preserve"> выражении? </t>
    </r>
    <r>
      <rPr>
        <b/>
        <sz val="11"/>
        <color indexed="52"/>
        <rFont val="Calibri"/>
        <family val="2"/>
        <charset val="204"/>
      </rPr>
      <t>Для перерасчета рублевого роста в долларовый используется коэффициент 1,15. Например, если в рублях рост на 10%, то 110%*1,15=126,5%. Следовательно, оборот в долларах увеличился на 26,5%.</t>
    </r>
  </si>
  <si>
    <t>более $10 млн.</t>
  </si>
  <si>
    <r>
      <rPr>
        <b/>
        <sz val="11"/>
        <color indexed="8"/>
        <rFont val="Calibri"/>
        <family val="2"/>
        <charset val="204"/>
      </rPr>
      <t xml:space="preserve">34. Какое изменение оборота (на сколько в процентах) вы прогнозируете в 2018 году в сравнении с 2017 годом в </t>
    </r>
    <r>
      <rPr>
        <b/>
        <u/>
        <sz val="11"/>
        <color indexed="8"/>
        <rFont val="Calibri"/>
        <family val="2"/>
        <charset val="204"/>
      </rPr>
      <t>ДОЛЛАРОВОМ</t>
    </r>
    <r>
      <rPr>
        <b/>
        <sz val="11"/>
        <color indexed="8"/>
        <rFont val="Calibri"/>
        <family val="2"/>
        <charset val="204"/>
      </rPr>
      <t xml:space="preserve"> выражении? </t>
    </r>
  </si>
  <si>
    <r>
      <rPr>
        <b/>
        <sz val="11"/>
        <color indexed="8"/>
        <rFont val="Calibri"/>
        <family val="2"/>
        <charset val="204"/>
      </rPr>
      <t xml:space="preserve">35. Какой объем привлекаемых Вашей компанией в 2017 году (прогноз на 2018-2019 года) сторонних инвестиций? </t>
    </r>
    <r>
      <rPr>
        <sz val="11"/>
        <color indexed="8"/>
        <rFont val="Calibri"/>
        <family val="2"/>
        <charset val="204"/>
      </rPr>
      <t>Ответьте по каждому из периодов</t>
    </r>
  </si>
  <si>
    <t>6.1. ЭКСПОРТ</t>
  </si>
  <si>
    <t xml:space="preserve">36. Оцените, пожалуйста, долю экспорта в совокупной выручке Вашей компании (по итогам 2017 года) </t>
  </si>
  <si>
    <r>
      <rPr>
        <b/>
        <sz val="11"/>
        <color indexed="8"/>
        <rFont val="Calibri"/>
        <family val="2"/>
        <charset val="204"/>
      </rPr>
      <t>37. Как изменилась (</t>
    </r>
    <r>
      <rPr>
        <b/>
        <sz val="11"/>
        <color indexed="53"/>
        <rFont val="Calibri"/>
        <family val="2"/>
        <charset val="204"/>
      </rPr>
      <t>на сколько в процентах</t>
    </r>
    <r>
      <rPr>
        <b/>
        <sz val="11"/>
        <color indexed="8"/>
        <rFont val="Calibri"/>
        <family val="2"/>
        <charset val="204"/>
      </rPr>
      <t xml:space="preserve">) абсолютная величина объема (в долларах) экспорта вашей компании в 2017 году в сравнении с 2016 годом? </t>
    </r>
  </si>
  <si>
    <r>
      <rPr>
        <b/>
        <sz val="11"/>
        <color indexed="8"/>
        <rFont val="Calibri"/>
        <family val="2"/>
        <charset val="204"/>
      </rPr>
      <t>38. Какое изменение экспорта (</t>
    </r>
    <r>
      <rPr>
        <b/>
        <sz val="11"/>
        <color indexed="53"/>
        <rFont val="Calibri"/>
        <family val="2"/>
        <charset val="204"/>
      </rPr>
      <t>на сколько в процентах</t>
    </r>
    <r>
      <rPr>
        <b/>
        <sz val="11"/>
        <color indexed="8"/>
        <rFont val="Calibri"/>
        <family val="2"/>
        <charset val="204"/>
      </rPr>
      <t>) вы прогнозируете в 2018 году в сравнении с 2017 годом?</t>
    </r>
  </si>
  <si>
    <r>
      <rPr>
        <b/>
        <sz val="11"/>
        <color indexed="8"/>
        <rFont val="Calibri"/>
        <family val="2"/>
        <charset val="204"/>
      </rPr>
      <t xml:space="preserve">39. Определите, пожалуйста, структуру </t>
    </r>
    <r>
      <rPr>
        <b/>
        <u/>
        <sz val="11"/>
        <color indexed="8"/>
        <rFont val="Calibri"/>
        <family val="2"/>
        <charset val="204"/>
      </rPr>
      <t>экспорта</t>
    </r>
    <r>
      <rPr>
        <b/>
        <sz val="11"/>
        <color indexed="8"/>
        <rFont val="Calibri"/>
        <family val="2"/>
        <charset val="204"/>
      </rPr>
      <t xml:space="preserve"> Вашей компании в 2017 году (за 100% принимается весь доход по экспорту) </t>
    </r>
  </si>
  <si>
    <r>
      <rPr>
        <sz val="11"/>
        <color indexed="8"/>
        <rFont val="Calibri"/>
        <family val="2"/>
        <charset val="204"/>
      </rPr>
      <t xml:space="preserve">Продажа, внедрение и поддержка </t>
    </r>
    <r>
      <rPr>
        <u/>
        <sz val="11"/>
        <color indexed="8"/>
        <rFont val="Calibri"/>
        <family val="2"/>
        <charset val="204"/>
      </rPr>
      <t>собственных</t>
    </r>
    <r>
      <rPr>
        <sz val="11"/>
        <color indexed="8"/>
        <rFont val="Calibri"/>
        <family val="2"/>
        <charset val="204"/>
      </rPr>
      <t xml:space="preserve"> программных продуктов </t>
    </r>
  </si>
  <si>
    <t xml:space="preserve">Разработка программного обеспечения на заказ </t>
  </si>
  <si>
    <t>Продажа оборудования (программно-аппаратных комплексов), рекламы в приложениях и прочих  услуг, которые не являются ИТ-услугами</t>
  </si>
  <si>
    <r>
      <rPr>
        <sz val="11"/>
        <color indexed="8"/>
        <rFont val="Calibri"/>
        <family val="2"/>
        <charset val="204"/>
      </rPr>
      <t xml:space="preserve">Внедрение и поддержка программных решений </t>
    </r>
    <r>
      <rPr>
        <u/>
        <sz val="11"/>
        <color indexed="8"/>
        <rFont val="Calibri"/>
        <family val="2"/>
        <charset val="204"/>
      </rPr>
      <t>других</t>
    </r>
    <r>
      <rPr>
        <sz val="11"/>
        <color indexed="8"/>
        <rFont val="Calibri"/>
        <family val="2"/>
        <charset val="204"/>
      </rPr>
      <t xml:space="preserve"> разработчиков</t>
    </r>
  </si>
  <si>
    <t>Продажи по модели SaaS</t>
  </si>
  <si>
    <t xml:space="preserve">ИТ-аутсорсинг (поддержка ИТ-инфраструктуры) </t>
  </si>
  <si>
    <t xml:space="preserve">Другое </t>
  </si>
  <si>
    <t>6.2 РОССИЙСКИЙ РЫНОК</t>
  </si>
  <si>
    <r>
      <rPr>
        <b/>
        <sz val="11"/>
        <color indexed="8"/>
        <rFont val="Calibri"/>
        <family val="2"/>
        <charset val="204"/>
      </rPr>
      <t xml:space="preserve">40. Как распределились доходы от ИТ продуктов и услуг, поставленных на </t>
    </r>
    <r>
      <rPr>
        <b/>
        <u/>
        <sz val="11"/>
        <color indexed="8"/>
        <rFont val="Calibri"/>
        <family val="2"/>
        <charset val="204"/>
      </rPr>
      <t>российский рынок</t>
    </r>
    <r>
      <rPr>
        <b/>
        <sz val="11"/>
        <color indexed="8"/>
        <rFont val="Calibri"/>
        <family val="2"/>
        <charset val="204"/>
      </rPr>
      <t xml:space="preserve"> в 2017 году (за 100% принимаются все продажи в России)</t>
    </r>
  </si>
  <si>
    <t>РАЗДЕЛ 7. ПРИОРИТЕТНЫЕ НАПРАВЛЕНИЯ РАЗВИТИЯ КОМПАНИИ</t>
  </si>
  <si>
    <r>
      <rPr>
        <b/>
        <sz val="11"/>
        <color indexed="8"/>
        <rFont val="Calibri"/>
        <family val="2"/>
        <charset val="204"/>
      </rPr>
      <t xml:space="preserve">41. Какие задачи стоят перед Вашей компанией в текущем году? </t>
    </r>
    <r>
      <rPr>
        <sz val="11"/>
        <color indexed="8"/>
        <rFont val="Calibri"/>
        <family val="2"/>
        <charset val="204"/>
      </rPr>
      <t>Выделите среди предложенных вариантов приоритетную  (№1!)</t>
    </r>
  </si>
  <si>
    <t>№1  (приоритет)</t>
  </si>
  <si>
    <t>все задачи</t>
  </si>
  <si>
    <t>Более активная работа на внутреннем рынке</t>
  </si>
  <si>
    <t>Расширение продаж за рубежом</t>
  </si>
  <si>
    <t>Создание центров разработки в регионах</t>
  </si>
  <si>
    <t>Увеличение доли продаж через Интернет</t>
  </si>
  <si>
    <t>Сертификация процессов разработки ПО</t>
  </si>
  <si>
    <t>РАЗДЕЛ 8. ОЦЕНКА ГОСУДАРСТВЕННОЙ ПОДДЕРЖКИ И ВНЕШНИХ ФАКТОРОВ</t>
  </si>
  <si>
    <t xml:space="preserve">42. Как, на ваш взгляд, изменилась государственная поддержка в сфере ИТ за последние 2 года (2016-2017 гг.) на федеральном уровне? </t>
  </si>
  <si>
    <r>
      <rPr>
        <b/>
        <sz val="11"/>
        <color indexed="8"/>
        <rFont val="Calibri"/>
        <family val="2"/>
        <charset val="204"/>
      </rPr>
      <t xml:space="preserve">43. Как изменилась  ситуация в сфере защиты прав </t>
    </r>
    <r>
      <rPr>
        <b/>
        <sz val="11"/>
        <rFont val="Calibri"/>
        <family val="2"/>
        <charset val="204"/>
      </rPr>
      <t>интеллектуальной</t>
    </r>
    <r>
      <rPr>
        <b/>
        <sz val="11"/>
        <color indexed="8"/>
        <rFont val="Calibri"/>
        <family val="2"/>
        <charset val="204"/>
      </rPr>
      <t xml:space="preserve"> собственности компания на внутреннем рынке за последние два года (2016-2017 гг.)?</t>
    </r>
  </si>
  <si>
    <r>
      <rPr>
        <b/>
        <sz val="11"/>
        <color indexed="8"/>
        <rFont val="Calibri"/>
        <family val="2"/>
        <charset val="204"/>
      </rPr>
      <t>44. Оцените, пожалуйста, деятельность местных органов власти, направленную на поддержку ИТ-отрасли в Вашем регионе (</t>
    </r>
    <r>
      <rPr>
        <b/>
        <sz val="11"/>
        <color indexed="53"/>
        <rFont val="Calibri"/>
        <family val="2"/>
        <charset val="204"/>
      </rPr>
      <t>регион определяется по расположению головной структуры Вашей компании в России</t>
    </r>
    <r>
      <rPr>
        <b/>
        <sz val="11"/>
        <color indexed="8"/>
        <rFont val="Calibri"/>
        <family val="2"/>
        <charset val="204"/>
      </rPr>
      <t>)</t>
    </r>
  </si>
  <si>
    <t>45. Оцените, пожалуйста, степень решения следующих проблем в России в настоящее время по каждому направлению</t>
  </si>
  <si>
    <t>Обеспеченность кадрами, система образования и повышения квалификации</t>
  </si>
  <si>
    <t xml:space="preserve">плохо </t>
  </si>
  <si>
    <t>Налоговая система</t>
  </si>
  <si>
    <t>удовлетворительно</t>
  </si>
  <si>
    <t>Бюрократические и административные барьеры</t>
  </si>
  <si>
    <t xml:space="preserve">хорошо </t>
  </si>
  <si>
    <t>Наличие современной инфраструктуры</t>
  </si>
  <si>
    <t>Финансовая поддержка стартапов</t>
  </si>
  <si>
    <t>Государственная поддержка международной маркетинговой деятельности</t>
  </si>
  <si>
    <t>Финансирование НИОКР</t>
  </si>
  <si>
    <t>Государственная поддержка сертификации контроля качества по международным стандартам</t>
  </si>
  <si>
    <r>
      <rPr>
        <b/>
        <sz val="11"/>
        <color indexed="8"/>
        <rFont val="Calibri"/>
        <family val="2"/>
        <charset val="204"/>
      </rPr>
      <t xml:space="preserve">46. Какова значимость для Вашей компании основных мер государственной поддержки? </t>
    </r>
    <r>
      <rPr>
        <sz val="11"/>
        <color indexed="8"/>
        <rFont val="Calibri"/>
        <family val="2"/>
        <charset val="204"/>
      </rPr>
      <t>Оцените по каждому виду поддержки</t>
    </r>
  </si>
  <si>
    <t>Предоставление налоговых льгот (включая льготы по страховым взносам)</t>
  </si>
  <si>
    <t>Поддержка международной маркетинговой деятельности</t>
  </si>
  <si>
    <t>Стимулирование экспорта ПО</t>
  </si>
  <si>
    <t>Поддержка сертификации контроля качества по международным стандартам</t>
  </si>
  <si>
    <t>Развитие необходимой для бизнеса инфраструктуры</t>
  </si>
  <si>
    <t>Устранение бюрократических и административных барьеров</t>
  </si>
  <si>
    <t>Какую другую меру государственной поддержки (за исключением вышеперечисленных) Вы могли бы предложить?</t>
  </si>
  <si>
    <r>
      <rPr>
        <b/>
        <sz val="11"/>
        <color indexed="8"/>
        <rFont val="Calibri"/>
        <family val="2"/>
        <charset val="204"/>
      </rPr>
      <t xml:space="preserve">47. Какие внешние факторы оказали наибольшее воздействие на Вашу компанию </t>
    </r>
    <r>
      <rPr>
        <sz val="11"/>
        <color indexed="8"/>
        <rFont val="Calibri"/>
        <family val="2"/>
        <charset val="204"/>
      </rPr>
      <t xml:space="preserve"> (оцените все)</t>
    </r>
  </si>
  <si>
    <t>Запреты использования зарубежного ПО при наличии аналога в Реестре отечественного ПО</t>
  </si>
  <si>
    <t>Западные санкции против России</t>
  </si>
  <si>
    <t>Стимулирование экспорта ПО (в частности работа РЭЦ — российского экспортного центра)</t>
  </si>
  <si>
    <t>Негативное отношение к России в западных СМИ</t>
  </si>
  <si>
    <t>48. Согласны ли Вы на бесплатную публикацию краткого профайла компании на последних страницах отчета о данном исследовании?</t>
  </si>
  <si>
    <t>Предыдущие версии отчета всегда можно найти на сайте НП «РУССОФТ»: www.russoft.ru/reports</t>
  </si>
  <si>
    <t>Замечания по корректности заполнения анкеты</t>
  </si>
  <si>
    <t>Приглашаем Вас принять участие в ежегодном исследовании российской индустрии разработки программного обеспечения, проводимом Ассоциацией «РУССОФТ» уже шестнадцатый год подряд!</t>
  </si>
  <si>
    <r>
      <rPr>
        <b/>
        <sz val="11"/>
        <color indexed="8"/>
        <rFont val="Calibri"/>
        <family val="2"/>
        <charset val="204"/>
      </rPr>
      <t xml:space="preserve">	Данное исследование позволяет получать информацию о ВАШИХ достижениях и доводить ее до потенциальных клиентов по всему миру и зарубежных аналитиков. Оно во многом определяет пути развития отрасли на ближайшие годы. Результаты исследования служат </t>
    </r>
    <r>
      <rPr>
        <b/>
        <u/>
        <sz val="11"/>
        <color indexed="8"/>
        <rFont val="Calibri"/>
        <family val="2"/>
        <charset val="204"/>
      </rPr>
      <t>обоснованием различных мер государственной поддержки бизнеса</t>
    </r>
    <r>
      <rPr>
        <b/>
        <sz val="11"/>
        <color indexed="8"/>
        <rFont val="Calibri"/>
        <family val="2"/>
        <charset val="204"/>
      </rPr>
      <t>. В частности, они помогли сохранить льготы по отчислениям в пенсионный и страховые фонды.</t>
    </r>
  </si>
  <si>
    <r>
      <rPr>
        <b/>
        <sz val="11"/>
        <color indexed="8"/>
        <rFont val="Calibri"/>
        <family val="2"/>
        <charset val="204"/>
      </rPr>
      <t xml:space="preserve">В знак благодарности за участие в исследовании мы предоставляем Вам возможность </t>
    </r>
    <r>
      <rPr>
        <b/>
        <u/>
        <sz val="11"/>
        <color indexed="8"/>
        <rFont val="Calibri"/>
        <family val="2"/>
        <charset val="204"/>
      </rPr>
      <t>бесплатно опубликовать краткий профиль компании в финальной части отчёта</t>
    </r>
    <r>
      <rPr>
        <b/>
        <sz val="11"/>
        <color indexed="8"/>
        <rFont val="Calibri"/>
        <family val="2"/>
        <charset val="204"/>
      </rPr>
      <t xml:space="preserve">. Для лучшего нахождения Вашей компании потенциальными партнерами и клиентами участники исследования будут распределены по группам согласно указанной Вами основной специализации. Кроме того, Ваше участие в исследовании позволит Ассоциации иметь информацию, которая позволит рассматривать Вашу компанию в качестве потенциального участника различных проектов. «РУССОФТ» </t>
    </r>
    <r>
      <rPr>
        <b/>
        <u/>
        <sz val="11"/>
        <color indexed="8"/>
        <rFont val="Calibri"/>
        <family val="2"/>
        <charset val="204"/>
      </rPr>
      <t>налаживает взаимодействие с крупными российскими корпорациями</t>
    </r>
    <r>
      <rPr>
        <b/>
        <sz val="11"/>
        <color indexed="8"/>
        <rFont val="Calibri"/>
        <family val="2"/>
        <charset val="204"/>
      </rPr>
      <t>, которые вынуждены искать альтернативы зарубежным решениям, и организовывает зарубежные маркетинговые мероприятия.</t>
    </r>
  </si>
  <si>
    <r>
      <rPr>
        <b/>
        <sz val="11"/>
        <color indexed="8"/>
        <rFont val="Calibri"/>
        <family val="2"/>
        <charset val="204"/>
      </rPr>
      <t xml:space="preserve">	Отчет о ежегодном исследовании «РУССОФТ» является </t>
    </r>
    <r>
      <rPr>
        <b/>
        <u/>
        <sz val="11"/>
        <color indexed="8"/>
        <rFont val="Calibri"/>
        <family val="2"/>
        <charset val="204"/>
      </rPr>
      <t>единственным источником наиболее полной, актуальной и достоверной информации о состоянии и тенденциях развития экспорта ПО и услуг по его разработке в РФ</t>
    </r>
    <r>
      <rPr>
        <b/>
        <sz val="11"/>
        <color indexed="8"/>
        <rFont val="Calibri"/>
        <family val="2"/>
        <charset val="204"/>
      </rPr>
      <t>. Этот документ востребован как СМИ, органами власти, российскими и зарубежными аналитиками, так и самой индустрией и её клиентами.</t>
    </r>
  </si>
  <si>
    <t>Результаты этого исследования в виде отчёта рассылаются в Правительство РФ, международным экспертам и аналитикам, руководителям компаний из разных отраслей экономики по всему миру, а также размещаются на сайте РУССОФТ и на сайтах партнёров исследования.</t>
  </si>
  <si>
    <t xml:space="preserve">Хотим обратить Ваше внимание на то, что ВСЕ данные, указанные Вами в данной анкете, остаются КОНФИДЕНЦИАЛЬНЫМИ. Информация в отчёте публикуется только в обобщенном обезличенном виде. Просмотрите предыдущие отчёты, убедитесь в этом сами. </t>
  </si>
  <si>
    <t>Отчёты размещены на сайте НП РУССОФТ www.russoft.org в разделе «Аналитика».</t>
  </si>
  <si>
    <t>Если заполнение анкеты в Excel представляет какую-то сложность, то можно использовать онлайн-анкету по ссылке</t>
  </si>
  <si>
    <t xml:space="preserve">Перейти к заполнению анкеты в Excel. </t>
  </si>
  <si>
    <t>СПРАВОЧНО:</t>
  </si>
  <si>
    <t>Анкета содержит ряд тематичесих блоков и включает в себя 52 вопроса.</t>
  </si>
  <si>
    <t>При вводе данных в данную анкету (в формате Excel) Вам надлежит заполнить:</t>
  </si>
  <si>
    <t>голубое поле - для самостоятельного ввода текста (ввод текста обязателен, если в самом вопросе не указано обратное)</t>
  </si>
  <si>
    <r>
      <rPr>
        <b/>
        <sz val="11"/>
        <rFont val="Calibri"/>
        <family val="2"/>
        <charset val="204"/>
      </rPr>
      <t xml:space="preserve">желтое поле - возможность выбора как одного, так и нескольких вариантов ответов на заданный вопрос (не обязательно выбирать в каждой ячейке, главное выбрать хотя бы один ответ в вопросе).                                                                                                                                                         !!!!!! </t>
    </r>
    <r>
      <rPr>
        <b/>
        <sz val="12"/>
        <rFont val="Calibri"/>
        <family val="2"/>
        <charset val="204"/>
      </rPr>
      <t>Выбирайте все варианты, которые соответствуют Вашему ответу.</t>
    </r>
  </si>
  <si>
    <t>розовое поле - обязательный выбор в каждой ячейке данного цвета</t>
  </si>
  <si>
    <t>После ввода данных или выбора значения заполненная ячейка станет зеленой. Задача при заполнении анкеты - сделать все голубые, розовые и желтые ячейки зелеными.</t>
  </si>
  <si>
    <t>Переход к следующей части анкеты осуществляется по зеленым кнопкам перемещения в правом верхнем углу страницы (появляются после ввода/выбора ответа на все вопросы поля).</t>
  </si>
  <si>
    <t>Внизу страницы красным выводятся комментарии об ошибках с указанием строки Excel, в которой она допущена, а после устранения ошибок кнопка перехода в правом верхнем углу становится доступной.</t>
  </si>
  <si>
    <t>Начать заполнение анкеты</t>
  </si>
  <si>
    <t>Вернуться к описанию условий</t>
  </si>
  <si>
    <r>
      <rPr>
        <b/>
        <sz val="11"/>
        <color indexed="8"/>
        <rFont val="Calibri"/>
        <family val="2"/>
        <charset val="204"/>
      </rPr>
      <t xml:space="preserve">9. Специализация компании.                                             </t>
    </r>
    <r>
      <rPr>
        <b/>
        <sz val="11"/>
        <color indexed="49"/>
        <rFont val="Calibri"/>
        <family val="2"/>
        <charset val="204"/>
      </rPr>
      <t xml:space="preserve">                                                                                  </t>
    </r>
    <r>
      <rPr>
        <b/>
        <sz val="11"/>
        <color indexed="8"/>
        <rFont val="Calibri"/>
        <family val="2"/>
        <charset val="204"/>
      </rPr>
      <t xml:space="preserve">                                                      </t>
    </r>
    <r>
      <rPr>
        <b/>
        <sz val="11"/>
        <color indexed="49"/>
        <rFont val="Calibri"/>
        <family val="2"/>
        <charset val="204"/>
      </rPr>
      <t>Отметьте ВСЁ необходимое (хотя бы 1 вариант)</t>
    </r>
  </si>
  <si>
    <t>10. Основная специализация (выберите)</t>
  </si>
  <si>
    <r>
      <rPr>
        <b/>
        <sz val="11"/>
        <color indexed="8"/>
        <rFont val="Calibri"/>
        <family val="2"/>
        <charset val="204"/>
      </rPr>
      <t xml:space="preserve">11. Отметьте, пожалуйста, области (вертикальные рынки для ваших продаж), в которых ваша компания работает.                                                                                                        </t>
    </r>
    <r>
      <rPr>
        <b/>
        <sz val="11"/>
        <color indexed="49"/>
        <rFont val="Calibri"/>
        <family val="2"/>
        <charset val="204"/>
      </rPr>
      <t xml:space="preserve">                                                                                                                                  Отметьте ВСЁ необходимое (хотя бы 1 вариант)</t>
    </r>
  </si>
  <si>
    <t>Информационные технологии</t>
  </si>
  <si>
    <t>Наука и прикладные исследования</t>
  </si>
  <si>
    <t>Телекоммуникации</t>
  </si>
  <si>
    <t>Государственное управление</t>
  </si>
  <si>
    <t>Промышленное производство</t>
  </si>
  <si>
    <t>Нефтегазодобыча и переработка</t>
  </si>
  <si>
    <t>Банковский сектор</t>
  </si>
  <si>
    <t>Здравоохранение и фармацевтика</t>
  </si>
  <si>
    <t>Оптово-розничная торговля</t>
  </si>
  <si>
    <t>Транспорт и логистика</t>
  </si>
  <si>
    <t>Игры и развлечения</t>
  </si>
  <si>
    <t>Образование</t>
  </si>
  <si>
    <t>СМИ</t>
  </si>
  <si>
    <t>Спорт и туризм</t>
  </si>
  <si>
    <t>Страхование</t>
  </si>
  <si>
    <t>Строительство и недвижимость</t>
  </si>
  <si>
    <t>Услуги</t>
  </si>
  <si>
    <t>Финансы</t>
  </si>
  <si>
    <t>Энергетика</t>
  </si>
  <si>
    <r>
      <rPr>
        <b/>
        <sz val="11"/>
        <color indexed="8"/>
        <rFont val="Calibri"/>
        <family val="2"/>
        <charset val="204"/>
      </rPr>
      <t xml:space="preserve">12. Есть ли у вашей компании и/или планируются к открытию в 2018-2019 годах </t>
    </r>
    <r>
      <rPr>
        <b/>
        <u/>
        <sz val="11"/>
        <color indexed="8"/>
        <rFont val="Calibri"/>
        <family val="2"/>
        <charset val="204"/>
      </rPr>
      <t>удалённые центры разработки</t>
    </r>
    <r>
      <rPr>
        <b/>
        <sz val="11"/>
        <color indexed="8"/>
        <rFont val="Calibri"/>
        <family val="2"/>
        <charset val="204"/>
      </rPr>
      <t xml:space="preserve"> (филиалы) в других городах/странах?</t>
    </r>
    <r>
      <rPr>
        <sz val="11"/>
        <color indexed="53"/>
        <rFont val="Calibri"/>
        <family val="2"/>
        <charset val="204"/>
      </rPr>
      <t xml:space="preserve"> </t>
    </r>
    <r>
      <rPr>
        <b/>
        <sz val="11"/>
        <color indexed="30"/>
        <rFont val="Calibri"/>
        <family val="2"/>
        <charset val="204"/>
      </rPr>
      <t>Укажите «да» в конкретной ячейке или «нет» в нижней строке «Нет центров разработки».</t>
    </r>
  </si>
  <si>
    <r>
      <rPr>
        <sz val="11"/>
        <color indexed="8"/>
        <rFont val="Calibri"/>
        <family val="2"/>
        <charset val="204"/>
      </rPr>
      <t xml:space="preserve">13. </t>
    </r>
    <r>
      <rPr>
        <b/>
        <sz val="11"/>
        <color indexed="8"/>
        <rFont val="Calibri"/>
        <family val="2"/>
        <charset val="204"/>
      </rPr>
      <t xml:space="preserve">Укажите, пожалуйста, географическое месторасположение Ваших клиентов и степень значимости рынка для Вашей компании.  </t>
    </r>
    <r>
      <rPr>
        <b/>
        <sz val="11"/>
        <color indexed="49"/>
        <rFont val="Calibri"/>
        <family val="2"/>
        <charset val="204"/>
      </rPr>
      <t>Нужен  хотя бы 1 вариант в каждом из столбцов.</t>
    </r>
  </si>
  <si>
    <t>2018 (факт)</t>
  </si>
  <si>
    <t>2019 (факт и прогноз)</t>
  </si>
  <si>
    <t>2020 (прогноз)</t>
  </si>
  <si>
    <r>
      <rPr>
        <sz val="11"/>
        <color indexed="8"/>
        <rFont val="Calibri"/>
        <family val="2"/>
        <charset val="204"/>
      </rPr>
      <t>14.</t>
    </r>
    <r>
      <rPr>
        <b/>
        <sz val="7"/>
        <color indexed="8"/>
        <rFont val="Calibri"/>
        <family val="2"/>
        <charset val="204"/>
      </rPr>
      <t xml:space="preserve"> </t>
    </r>
    <r>
      <rPr>
        <b/>
        <sz val="11"/>
        <color indexed="8"/>
        <rFont val="Calibri"/>
        <family val="2"/>
        <charset val="204"/>
      </rPr>
      <t xml:space="preserve">Какой язык программирования (технология) является </t>
    </r>
    <r>
      <rPr>
        <b/>
        <u/>
        <sz val="11"/>
        <color indexed="8"/>
        <rFont val="Calibri"/>
        <family val="2"/>
        <charset val="204"/>
      </rPr>
      <t>основным</t>
    </r>
    <r>
      <rPr>
        <b/>
        <sz val="11"/>
        <color indexed="8"/>
        <rFont val="Calibri"/>
        <family val="2"/>
        <charset val="204"/>
      </rPr>
      <t xml:space="preserve"> в Вашей компании? </t>
    </r>
    <r>
      <rPr>
        <b/>
        <sz val="11"/>
        <color indexed="27"/>
        <rFont val="Calibri"/>
        <family val="2"/>
        <charset val="204"/>
      </rPr>
      <t>Выберите из списка или укажите свой вариант</t>
    </r>
  </si>
  <si>
    <t>Другой (укажите)</t>
  </si>
  <si>
    <r>
      <rPr>
        <sz val="11"/>
        <color indexed="8"/>
        <rFont val="Calibri"/>
        <family val="2"/>
        <charset val="204"/>
      </rPr>
      <t>15.</t>
    </r>
    <r>
      <rPr>
        <b/>
        <sz val="7"/>
        <color indexed="8"/>
        <rFont val="Calibri"/>
        <family val="2"/>
        <charset val="204"/>
      </rPr>
      <t> </t>
    </r>
    <r>
      <rPr>
        <b/>
        <sz val="11"/>
        <color indexed="8"/>
        <rFont val="Calibri"/>
        <family val="2"/>
        <charset val="204"/>
      </rPr>
      <t>Какие другие (кроме основного)  языки программирования/ технологии используются в Вашей компании для работы?</t>
    </r>
    <r>
      <rPr>
        <sz val="11"/>
        <color indexed="8"/>
        <rFont val="Calibri"/>
        <family val="2"/>
        <charset val="204"/>
      </rPr>
      <t xml:space="preserve">                                                                   </t>
    </r>
    <r>
      <rPr>
        <b/>
        <sz val="11"/>
        <color indexed="49"/>
        <rFont val="Calibri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Отметьте ВСЁ необходимое (хотя бы 1 вариант)</t>
    </r>
  </si>
  <si>
    <t>Другие (укажите)</t>
  </si>
  <si>
    <r>
      <rPr>
        <b/>
        <sz val="11"/>
        <color indexed="8"/>
        <rFont val="Calibri"/>
        <family val="2"/>
        <charset val="204"/>
      </rPr>
      <t xml:space="preserve">16. Какие инструментальные средства используются в Вашей компании?                                                       </t>
    </r>
    <r>
      <rPr>
        <b/>
        <sz val="11"/>
        <color indexed="49"/>
        <rFont val="Calibri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Отметьте ВСЁ необходимое (хотя бы 1 вариант)</t>
    </r>
  </si>
  <si>
    <r>
      <rPr>
        <b/>
        <sz val="11"/>
        <color indexed="8"/>
        <rFont val="Calibri"/>
        <family val="2"/>
        <charset val="204"/>
      </rPr>
      <t xml:space="preserve">17. С какими ОС (операционными системами) работает Ваша компания?                      </t>
    </r>
    <r>
      <rPr>
        <b/>
        <sz val="11"/>
        <color indexed="49"/>
        <rFont val="Calibri"/>
        <family val="2"/>
        <charset val="204"/>
      </rPr>
      <t xml:space="preserve">                                                                                                                                                                            Отметьте ВСЁ необходимое (хотя бы 1 вариант)</t>
    </r>
  </si>
  <si>
    <r>
      <rPr>
        <b/>
        <sz val="11"/>
        <color indexed="8"/>
        <rFont val="Calibri"/>
        <family val="2"/>
        <charset val="204"/>
      </rPr>
      <t xml:space="preserve">18. С какими СУБД (системами управления базами данных) работает ваша компания?                                      </t>
    </r>
    <r>
      <rPr>
        <b/>
        <sz val="11"/>
        <color indexed="49"/>
        <rFont val="Calibri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Отметьте ВСЁ необходимое (хотя бы 1 вариант)</t>
    </r>
  </si>
  <si>
    <t>РАЗДЕЛ 4. РАСХОДЫ</t>
  </si>
  <si>
    <t>19. Какая структура затрат Вашей компании в 2018 году (% от всех расходов Вашей компании)</t>
  </si>
  <si>
    <t>Зарплата</t>
  </si>
  <si>
    <t>Затрудняюсь ответить</t>
  </si>
  <si>
    <t>20. Как изменилась стоимость оплаты за аренду офисных помещений в рублевом выражении в 2018 году</t>
  </si>
  <si>
    <t>Уточните тип изменения стоимости аренды, стр 11</t>
  </si>
  <si>
    <r>
      <rPr>
        <b/>
        <sz val="11"/>
        <color indexed="8"/>
        <rFont val="Calibri"/>
        <family val="2"/>
        <charset val="204"/>
      </rPr>
      <t xml:space="preserve">21. Какова </t>
    </r>
    <r>
      <rPr>
        <b/>
        <u/>
        <sz val="11"/>
        <color indexed="8"/>
        <rFont val="Calibri"/>
        <family val="2"/>
        <charset val="204"/>
      </rPr>
      <t>общая</t>
    </r>
    <r>
      <rPr>
        <b/>
        <sz val="11"/>
        <color indexed="8"/>
        <rFont val="Calibri"/>
        <family val="2"/>
        <charset val="204"/>
      </rPr>
      <t xml:space="preserve"> численность сотрудников вашей компании по состоянию на конец 2018 года? </t>
    </r>
  </si>
  <si>
    <t>?</t>
  </si>
  <si>
    <t>чел</t>
  </si>
  <si>
    <r>
      <rPr>
        <b/>
        <sz val="11"/>
        <color indexed="8"/>
        <rFont val="Calibri"/>
        <family val="2"/>
        <charset val="204"/>
      </rPr>
      <t xml:space="preserve">22. Какова численность </t>
    </r>
    <r>
      <rPr>
        <b/>
        <u/>
        <sz val="11"/>
        <color indexed="8"/>
        <rFont val="Calibri"/>
        <family val="2"/>
        <charset val="204"/>
      </rPr>
      <t>профильных технических</t>
    </r>
    <r>
      <rPr>
        <b/>
        <sz val="11"/>
        <color indexed="8"/>
        <rFont val="Calibri"/>
        <family val="2"/>
        <charset val="204"/>
      </rPr>
      <t xml:space="preserve"> сотрудников вашей компании по состоянию на конец 2018 года? </t>
    </r>
  </si>
  <si>
    <r>
      <rPr>
        <b/>
        <sz val="11"/>
        <color indexed="8"/>
        <rFont val="Calibri"/>
        <family val="2"/>
        <charset val="204"/>
      </rPr>
      <t xml:space="preserve">23. Какая доля (примерно) от указанной выше общей численности профильных технических сотрудников работала в 2018 г. в Ваших офисах, расположенных в других российских городах (вне города расположения головного российского офиса)?                    </t>
    </r>
    <r>
      <rPr>
        <b/>
        <sz val="11"/>
        <color indexed="49"/>
        <rFont val="Calibri"/>
        <family val="2"/>
        <charset val="204"/>
      </rPr>
      <t xml:space="preserve"> При отсутствии офисов в других городах России указывается 0%.</t>
    </r>
  </si>
  <si>
    <r>
      <rPr>
        <b/>
        <sz val="11"/>
        <color indexed="8"/>
        <rFont val="Calibri"/>
        <family val="2"/>
        <charset val="204"/>
      </rPr>
      <t>24. Какая доля (примерно) от указанной выше общей численности профильных технических сотрудников работала в 2018 г. в Ваших офисах, расположенных за пределами России?</t>
    </r>
    <r>
      <rPr>
        <b/>
        <sz val="11"/>
        <color indexed="49"/>
        <rFont val="Calibri"/>
        <family val="2"/>
        <charset val="204"/>
      </rPr>
      <t xml:space="preserve"> При отсутствии офисов в других городах России указывается 0%.</t>
    </r>
  </si>
  <si>
    <r>
      <rPr>
        <b/>
        <sz val="11"/>
        <color indexed="8"/>
        <rFont val="Calibri"/>
        <family val="2"/>
        <charset val="204"/>
      </rPr>
      <t>25.</t>
    </r>
    <r>
      <rPr>
        <b/>
        <sz val="7"/>
        <color indexed="8"/>
        <rFont val="Calibri"/>
        <family val="2"/>
        <charset val="204"/>
      </rPr>
      <t xml:space="preserve">     </t>
    </r>
    <r>
      <rPr>
        <b/>
        <sz val="11"/>
        <color indexed="8"/>
        <rFont val="Calibri"/>
        <family val="2"/>
        <charset val="204"/>
      </rPr>
      <t>Как за 2018 год изменилась общая численность сотрудников вашей компании?</t>
    </r>
  </si>
  <si>
    <t>26. Какая доля от новых сотрудников, нанятых в 2018 г., прибыла из-за рубежа (Украины, Белоруссии, Казахстана и других стран ближнего и дальнего зарубежья)?</t>
  </si>
  <si>
    <t>27. Является ли миграция сотрудников за рубеж проблемой для Вашей компании?</t>
  </si>
  <si>
    <r>
      <rPr>
        <b/>
        <sz val="11"/>
        <color indexed="8"/>
        <rFont val="Calibri"/>
        <family val="2"/>
        <charset val="204"/>
      </rPr>
      <t>28.</t>
    </r>
    <r>
      <rPr>
        <sz val="7"/>
        <color indexed="8"/>
        <rFont val="Calibri"/>
        <family val="2"/>
        <charset val="204"/>
      </rPr>
      <t xml:space="preserve"> </t>
    </r>
    <r>
      <rPr>
        <b/>
        <sz val="11"/>
        <color indexed="8"/>
        <rFont val="Calibri"/>
        <family val="2"/>
        <charset val="204"/>
      </rPr>
      <t>Как изменится согласно Вашим планам количество сотрудников в течение текущего 2019 года (прогноз), %</t>
    </r>
  </si>
  <si>
    <r>
      <rPr>
        <b/>
        <sz val="11"/>
        <color indexed="8"/>
        <rFont val="Calibri"/>
        <family val="2"/>
        <charset val="204"/>
      </rPr>
      <t xml:space="preserve">29. Как изменился средний уровень заработной платы профильных специалистов в российском </t>
    </r>
    <r>
      <rPr>
        <b/>
        <u/>
        <sz val="11"/>
        <color indexed="8"/>
        <rFont val="Calibri"/>
        <family val="2"/>
        <charset val="204"/>
      </rPr>
      <t>головном офисе</t>
    </r>
    <r>
      <rPr>
        <b/>
        <sz val="11"/>
        <color indexed="8"/>
        <rFont val="Calibri"/>
        <family val="2"/>
        <charset val="204"/>
      </rPr>
      <t xml:space="preserve"> вашей компании за календарный 2018 год </t>
    </r>
    <r>
      <rPr>
        <b/>
        <sz val="11"/>
        <color indexed="49"/>
        <rFont val="Calibri"/>
        <family val="2"/>
        <charset val="204"/>
      </rPr>
      <t>(в рублевом выражении</t>
    </r>
    <r>
      <rPr>
        <b/>
        <sz val="11"/>
        <color indexed="8"/>
        <rFont val="Calibri"/>
        <family val="2"/>
        <charset val="204"/>
      </rPr>
      <t>)?</t>
    </r>
  </si>
  <si>
    <r>
      <rPr>
        <b/>
        <sz val="11"/>
        <color indexed="8"/>
        <rFont val="Calibri"/>
        <family val="2"/>
        <charset val="204"/>
      </rPr>
      <t>30.</t>
    </r>
    <r>
      <rPr>
        <sz val="7"/>
        <color indexed="8"/>
        <rFont val="Calibri"/>
        <family val="2"/>
        <charset val="204"/>
      </rPr>
      <t xml:space="preserve"> </t>
    </r>
    <r>
      <rPr>
        <b/>
        <sz val="11"/>
        <color indexed="8"/>
        <rFont val="Calibri"/>
        <family val="2"/>
        <charset val="204"/>
      </rPr>
      <t>Оцените, пожалуйста, процент профильных сотрудников, покинувших вашу компанию в 2018 году (доля от средней численности персонала, рассчитываемую как средний показатель от численности на начало года и на конец года)</t>
    </r>
  </si>
  <si>
    <t>31. Оцените, пожалуйста, процент специалистов-выпускников вузов, принятых на работу в 2018 году  (доля от средней численности персонала)</t>
  </si>
  <si>
    <r>
      <rPr>
        <b/>
        <sz val="11"/>
        <color indexed="8"/>
        <rFont val="Calibri"/>
        <family val="2"/>
        <charset val="204"/>
      </rPr>
      <t>32. Перечислите вузы, выпускники которых пользуются наибольшим спросом среди ИТ-компаний вашего региона.</t>
    </r>
    <r>
      <rPr>
        <b/>
        <sz val="11"/>
        <color indexed="40"/>
        <rFont val="Calibri"/>
        <family val="2"/>
        <charset val="204"/>
      </rPr>
      <t xml:space="preserve"> Укажите, по возможности, официальное название каждого вуза</t>
    </r>
  </si>
  <si>
    <r>
      <rPr>
        <b/>
        <sz val="11"/>
        <color indexed="8"/>
        <rFont val="Calibri"/>
        <family val="2"/>
        <charset val="204"/>
      </rPr>
      <t xml:space="preserve">33. Какие партнерские программы осуществляются вашей компанией совместно с вузами и как еще занимаетесь подготовкой кадров?                                                                                                      </t>
    </r>
    <r>
      <rPr>
        <b/>
        <sz val="11"/>
        <color indexed="40"/>
        <rFont val="Calibri"/>
        <family val="2"/>
        <charset val="204"/>
      </rPr>
      <t>Отметьте все необходимое (Хотя бы 1 вариант)</t>
    </r>
  </si>
  <si>
    <t>Наличие собственного центра обучения (кафедры в вузе)</t>
  </si>
  <si>
    <r>
      <rPr>
        <b/>
        <sz val="11"/>
        <color indexed="8"/>
        <rFont val="Calibri"/>
        <family val="2"/>
        <charset val="204"/>
      </rPr>
      <t xml:space="preserve">34. Укажите, пожалуйста, диапазон годового оборота (выручки) вашей компании в 2018 году? </t>
    </r>
    <r>
      <rPr>
        <b/>
        <sz val="11"/>
        <color indexed="10"/>
        <rFont val="Calibri"/>
        <family val="2"/>
        <charset val="204"/>
      </rPr>
      <t>Напоминаем, что ВСЕ данные, указанные в данной анкете, остаются КОНФИДЕНЦИАЛЬНЫМИ. Информация в отчёте публикуется только в обобщенном обезличенном виде.</t>
    </r>
  </si>
  <si>
    <r>
      <rPr>
        <b/>
        <sz val="11"/>
        <color indexed="8"/>
        <rFont val="Calibri"/>
        <family val="2"/>
        <charset val="204"/>
      </rPr>
      <t xml:space="preserve">35. Если возможно, укажите более точный размер оборота в 2018 году (млн. </t>
    </r>
    <r>
      <rPr>
        <b/>
        <u/>
        <sz val="11"/>
        <color indexed="8"/>
        <rFont val="Calibri"/>
        <family val="2"/>
        <charset val="204"/>
      </rPr>
      <t>ДОЛЛАРОВ</t>
    </r>
    <r>
      <rPr>
        <b/>
        <sz val="11"/>
        <color indexed="8"/>
        <rFont val="Calibri"/>
        <family val="2"/>
        <charset val="204"/>
      </rPr>
      <t xml:space="preserve">). </t>
    </r>
    <r>
      <rPr>
        <b/>
        <sz val="11"/>
        <color indexed="40"/>
        <rFont val="Calibri"/>
        <family val="2"/>
        <charset val="204"/>
      </rPr>
      <t xml:space="preserve">Справочно (для пересчета рублевого оборота в долларовый) среднегодовой курс ЦБ РФ — 63 руб./USD. </t>
    </r>
  </si>
  <si>
    <r>
      <rPr>
        <b/>
        <sz val="11"/>
        <color indexed="8"/>
        <rFont val="Calibri"/>
        <family val="2"/>
        <charset val="204"/>
      </rPr>
      <t>36. Как изменился (</t>
    </r>
    <r>
      <rPr>
        <b/>
        <u/>
        <sz val="11"/>
        <color indexed="8"/>
        <rFont val="Calibri"/>
        <family val="2"/>
        <charset val="204"/>
      </rPr>
      <t>на сколько в %)</t>
    </r>
    <r>
      <rPr>
        <b/>
        <sz val="11"/>
        <color indexed="8"/>
        <rFont val="Calibri"/>
        <family val="2"/>
        <charset val="204"/>
      </rPr>
      <t xml:space="preserve"> оборот вашей компании в 2018 году в сравнении с 2017 годом в </t>
    </r>
    <r>
      <rPr>
        <b/>
        <u/>
        <sz val="11"/>
        <color indexed="8"/>
        <rFont val="Calibri"/>
        <family val="2"/>
        <charset val="204"/>
      </rPr>
      <t>ДОЛЛАРОВОМ</t>
    </r>
    <r>
      <rPr>
        <b/>
        <sz val="11"/>
        <color indexed="8"/>
        <rFont val="Calibri"/>
        <family val="2"/>
        <charset val="204"/>
      </rPr>
      <t xml:space="preserve"> выражении?                 </t>
    </r>
    <r>
      <rPr>
        <b/>
        <sz val="11"/>
        <color indexed="40"/>
        <rFont val="Calibri"/>
        <family val="2"/>
        <charset val="204"/>
      </rPr>
      <t>Для перерасчета рублевого роста в долларовый используется коэффициент 0,93. Например, если в рублях рост на 10%, то 110%*0,93=102,3%. Следовательно, оборот в долларах увеличился на 2,3%.</t>
    </r>
  </si>
  <si>
    <r>
      <rPr>
        <b/>
        <sz val="11"/>
        <color indexed="8"/>
        <rFont val="Calibri"/>
        <family val="2"/>
        <charset val="204"/>
      </rPr>
      <t>37. Какое изменение оборота (</t>
    </r>
    <r>
      <rPr>
        <b/>
        <u/>
        <sz val="11"/>
        <color indexed="8"/>
        <rFont val="Calibri"/>
        <family val="2"/>
        <charset val="204"/>
      </rPr>
      <t>на сколько в %</t>
    </r>
    <r>
      <rPr>
        <b/>
        <sz val="11"/>
        <color indexed="8"/>
        <rFont val="Calibri"/>
        <family val="2"/>
        <charset val="204"/>
      </rPr>
      <t xml:space="preserve">) вы прогнозируете в 2019 году в сравнении с 2018 годом в </t>
    </r>
    <r>
      <rPr>
        <b/>
        <u/>
        <sz val="11"/>
        <color indexed="8"/>
        <rFont val="Calibri"/>
        <family val="2"/>
        <charset val="204"/>
      </rPr>
      <t>ДОЛЛАРОВОМ</t>
    </r>
    <r>
      <rPr>
        <b/>
        <sz val="11"/>
        <color indexed="8"/>
        <rFont val="Calibri"/>
        <family val="2"/>
        <charset val="204"/>
      </rPr>
      <t xml:space="preserve"> выражении?             </t>
    </r>
    <r>
      <rPr>
        <b/>
        <sz val="11"/>
        <color indexed="40"/>
        <rFont val="Calibri"/>
        <family val="2"/>
        <charset val="204"/>
      </rPr>
      <t>В связи с ожидаемым снижением среднегодового курса доллара примерно на 10% можно предполагать, что долларовое изменение будет составлять 0,91 от рублевого.</t>
    </r>
  </si>
  <si>
    <r>
      <rPr>
        <b/>
        <sz val="11"/>
        <color indexed="8"/>
        <rFont val="Calibri"/>
        <family val="2"/>
        <charset val="204"/>
      </rPr>
      <t xml:space="preserve">38. Какой объем привлекаемых Вашей компанией в 2018 году (прогноз на 2019-2020 года) сторонних инвестиций?                                         </t>
    </r>
    <r>
      <rPr>
        <b/>
        <sz val="11"/>
        <color indexed="40"/>
        <rFont val="Calibri"/>
        <family val="2"/>
        <charset val="204"/>
      </rPr>
      <t>Ответьте по каждому из периодов</t>
    </r>
  </si>
  <si>
    <t xml:space="preserve">39. Оцените, пожалуйста, в % долю экспорта в совокупной выручке Вашей компании (по итогам 2018 года) </t>
  </si>
  <si>
    <r>
      <rPr>
        <b/>
        <sz val="11"/>
        <color indexed="8"/>
        <rFont val="Calibri"/>
        <family val="2"/>
        <charset val="204"/>
      </rPr>
      <t>40. Как изменилась (</t>
    </r>
    <r>
      <rPr>
        <b/>
        <u/>
        <sz val="11"/>
        <rFont val="Calibri"/>
        <family val="2"/>
        <charset val="204"/>
      </rPr>
      <t xml:space="preserve">на сколько в %) </t>
    </r>
    <r>
      <rPr>
        <b/>
        <sz val="11"/>
        <color indexed="8"/>
        <rFont val="Calibri"/>
        <family val="2"/>
        <charset val="204"/>
      </rPr>
      <t>абсолютная величина объема (</t>
    </r>
    <r>
      <rPr>
        <b/>
        <u/>
        <sz val="11"/>
        <rFont val="Calibri"/>
        <family val="2"/>
        <charset val="204"/>
      </rPr>
      <t>в долларах</t>
    </r>
    <r>
      <rPr>
        <b/>
        <sz val="11"/>
        <color indexed="8"/>
        <rFont val="Calibri"/>
        <family val="2"/>
        <charset val="204"/>
      </rPr>
      <t xml:space="preserve">) экспорта вашей компании в 2018 году в сравнении с 2017 годом? </t>
    </r>
  </si>
  <si>
    <r>
      <rPr>
        <b/>
        <sz val="11"/>
        <rFont val="Calibri"/>
        <family val="2"/>
        <charset val="204"/>
      </rPr>
      <t>41. Какое изменение экспорта (</t>
    </r>
    <r>
      <rPr>
        <b/>
        <u/>
        <sz val="11"/>
        <rFont val="Calibri"/>
        <family val="2"/>
        <charset val="204"/>
      </rPr>
      <t>на сколько в %</t>
    </r>
    <r>
      <rPr>
        <b/>
        <sz val="11"/>
        <rFont val="Calibri"/>
        <family val="2"/>
        <charset val="204"/>
      </rPr>
      <t>) вы прогнозируете в 2019 году в сравнении с 2018 годом?</t>
    </r>
  </si>
  <si>
    <r>
      <rPr>
        <b/>
        <sz val="11"/>
        <color indexed="8"/>
        <rFont val="Calibri"/>
        <family val="2"/>
        <charset val="204"/>
      </rPr>
      <t xml:space="preserve">42. Определите, пожалуйста, структуру экспорта Вашей компании в 2018 году                                             </t>
    </r>
    <r>
      <rPr>
        <b/>
        <sz val="11"/>
        <color indexed="40"/>
        <rFont val="Calibri"/>
        <family val="2"/>
        <charset val="204"/>
      </rPr>
      <t>(</t>
    </r>
    <r>
      <rPr>
        <b/>
        <u/>
        <sz val="11"/>
        <color indexed="40"/>
        <rFont val="Calibri"/>
        <family val="2"/>
        <charset val="204"/>
      </rPr>
      <t xml:space="preserve">за 100% принимается весь доход по экспорту) </t>
    </r>
  </si>
  <si>
    <r>
      <rPr>
        <sz val="11"/>
        <color indexed="8"/>
        <rFont val="Calibri"/>
        <family val="2"/>
        <charset val="204"/>
      </rPr>
      <t xml:space="preserve">Продажа, внедрение и поддержка </t>
    </r>
    <r>
      <rPr>
        <b/>
        <u/>
        <sz val="11"/>
        <color indexed="8"/>
        <rFont val="Calibri"/>
        <family val="2"/>
        <charset val="204"/>
      </rPr>
      <t>собственных</t>
    </r>
    <r>
      <rPr>
        <sz val="11"/>
        <color indexed="8"/>
        <rFont val="Calibri"/>
        <family val="2"/>
        <charset val="204"/>
      </rPr>
      <t xml:space="preserve"> программных продуктов </t>
    </r>
  </si>
  <si>
    <r>
      <rPr>
        <sz val="11"/>
        <color indexed="8"/>
        <rFont val="Calibri"/>
        <family val="2"/>
        <charset val="204"/>
      </rPr>
      <t xml:space="preserve">Внедрение и поддержка программных решений </t>
    </r>
    <r>
      <rPr>
        <b/>
        <u/>
        <sz val="11"/>
        <color indexed="8"/>
        <rFont val="Calibri"/>
        <family val="2"/>
        <charset val="204"/>
      </rPr>
      <t>других</t>
    </r>
    <r>
      <rPr>
        <sz val="11"/>
        <color indexed="8"/>
        <rFont val="Calibri"/>
        <family val="2"/>
        <charset val="204"/>
      </rPr>
      <t xml:space="preserve"> разработчиков</t>
    </r>
  </si>
  <si>
    <r>
      <rPr>
        <b/>
        <sz val="11"/>
        <color indexed="8"/>
        <rFont val="Calibri"/>
        <family val="2"/>
        <charset val="204"/>
      </rPr>
      <t xml:space="preserve">43. Как распределились доходы от ИТ продуктов и услуг, поставленных на </t>
    </r>
    <r>
      <rPr>
        <b/>
        <u/>
        <sz val="11"/>
        <color indexed="8"/>
        <rFont val="Calibri"/>
        <family val="2"/>
        <charset val="204"/>
      </rPr>
      <t>российский рынок</t>
    </r>
    <r>
      <rPr>
        <b/>
        <sz val="11"/>
        <color indexed="8"/>
        <rFont val="Calibri"/>
        <family val="2"/>
        <charset val="204"/>
      </rPr>
      <t xml:space="preserve"> в 2018 году                                                                                 </t>
    </r>
    <r>
      <rPr>
        <b/>
        <sz val="11"/>
        <color indexed="40"/>
        <rFont val="Calibri"/>
        <family val="2"/>
        <charset val="204"/>
      </rPr>
      <t>(за 100% принимаются все продажи в России)</t>
    </r>
  </si>
  <si>
    <r>
      <rPr>
        <b/>
        <sz val="11"/>
        <color indexed="8"/>
        <rFont val="Calibri"/>
        <family val="2"/>
        <charset val="204"/>
      </rPr>
      <t xml:space="preserve">44. Какие задачи стоят перед Вашей компанией в текущем году?                             </t>
    </r>
    <r>
      <rPr>
        <b/>
        <sz val="11"/>
        <color indexed="40"/>
        <rFont val="Calibri"/>
        <family val="2"/>
        <charset val="204"/>
      </rPr>
      <t xml:space="preserve"> Выделите среди предложенных вариантов приоритетную  (№1!) в строке 4, а также отметьте все текущие задачи (хотя бы одну)</t>
    </r>
  </si>
  <si>
    <t xml:space="preserve">45. Как Вы оцениваете государственную поддержку в сфере ИТ за последние 2 года на федеральном уровне? </t>
  </si>
  <si>
    <r>
      <rPr>
        <b/>
        <sz val="11"/>
        <color indexed="8"/>
        <rFont val="Calibri"/>
        <family val="2"/>
        <charset val="204"/>
      </rPr>
      <t xml:space="preserve">46. Как Вы оцениваете  ситуацию в сфере защиты прав </t>
    </r>
    <r>
      <rPr>
        <b/>
        <sz val="11"/>
        <rFont val="Calibri"/>
        <family val="2"/>
        <charset val="204"/>
      </rPr>
      <t>интеллектуальной</t>
    </r>
    <r>
      <rPr>
        <b/>
        <sz val="11"/>
        <color indexed="8"/>
        <rFont val="Calibri"/>
        <family val="2"/>
        <charset val="204"/>
      </rPr>
      <t xml:space="preserve"> собственности компании на внутреннем рынке в последние 2 года?</t>
    </r>
  </si>
  <si>
    <r>
      <rPr>
        <b/>
        <sz val="11"/>
        <color indexed="8"/>
        <rFont val="Calibri"/>
        <family val="2"/>
        <charset val="204"/>
      </rPr>
      <t xml:space="preserve">47. Оцените, пожалуйста, деятельность местных органов власти, направленную на поддержку ИТ-отрасли в Вашем регионе </t>
    </r>
    <r>
      <rPr>
        <b/>
        <sz val="11"/>
        <color indexed="40"/>
        <rFont val="Calibri"/>
        <family val="2"/>
        <charset val="204"/>
      </rPr>
      <t>(регион определяется по расположению головной структуры Вашей компании в России</t>
    </r>
    <r>
      <rPr>
        <b/>
        <sz val="11"/>
        <color indexed="8"/>
        <rFont val="Calibri"/>
        <family val="2"/>
        <charset val="204"/>
      </rPr>
      <t>)</t>
    </r>
  </si>
  <si>
    <r>
      <rPr>
        <b/>
        <sz val="11"/>
        <color indexed="8"/>
        <rFont val="Calibri"/>
        <family val="2"/>
        <charset val="204"/>
      </rPr>
      <t xml:space="preserve">48. Оцените, пожалуйста, степень решения следующих проблем в России в настоящее время </t>
    </r>
    <r>
      <rPr>
        <b/>
        <sz val="11"/>
        <color indexed="40"/>
        <rFont val="Calibri"/>
        <family val="2"/>
        <charset val="204"/>
      </rPr>
      <t>(</t>
    </r>
    <r>
      <rPr>
        <b/>
        <u/>
        <sz val="11"/>
        <color indexed="40"/>
        <rFont val="Calibri"/>
        <family val="2"/>
        <charset val="204"/>
      </rPr>
      <t>по каждому направлению)</t>
    </r>
  </si>
  <si>
    <r>
      <rPr>
        <b/>
        <sz val="11"/>
        <color indexed="8"/>
        <rFont val="Calibri"/>
        <family val="2"/>
        <charset val="204"/>
      </rPr>
      <t xml:space="preserve">49. Какова значимость для Вашей компании основных мер государственной поддержки?                                                   </t>
    </r>
    <r>
      <rPr>
        <b/>
        <sz val="11"/>
        <color indexed="40"/>
        <rFont val="Calibri"/>
        <family val="2"/>
        <charset val="204"/>
      </rPr>
      <t>Оцените по каждому виду поддержки</t>
    </r>
  </si>
  <si>
    <r>
      <rPr>
        <b/>
        <sz val="11"/>
        <color indexed="8"/>
        <rFont val="Calibri"/>
        <family val="2"/>
        <charset val="204"/>
      </rPr>
      <t xml:space="preserve">50. Какие внешние факторы оказали наибольшее воздействие на Вашу компанию </t>
    </r>
    <r>
      <rPr>
        <b/>
        <sz val="11"/>
        <color indexed="40"/>
        <rFont val="Calibri"/>
        <family val="2"/>
        <charset val="204"/>
      </rPr>
      <t xml:space="preserve"> (оцените по каждому фактору)</t>
    </r>
  </si>
  <si>
    <t>51. Согласны ли Вы на бесплатную публикацию краткого профайла компании на последних страницах отчета о данном исследовании?</t>
  </si>
  <si>
    <t>52. Хотите ли Вы подписаться на открытую рассылку о внешних мероприятиях, организуемых РУССОФТ?</t>
  </si>
  <si>
    <t>Предыдущие версии отчета всегда можно найти на сайте НП «РУССОФТ»: https://russoft.org/russoft-analytics/</t>
  </si>
  <si>
    <t>1. Общие сведения</t>
  </si>
  <si>
    <t>2. Специализация компании</t>
  </si>
  <si>
    <t>3. Вертикальные рынки</t>
  </si>
  <si>
    <t>4. География</t>
  </si>
  <si>
    <t xml:space="preserve">5. Языки программирования </t>
  </si>
  <si>
    <t>6. Расходы</t>
  </si>
  <si>
    <t>7. Человеческие ресурсы</t>
  </si>
  <si>
    <t>8. ВУЗЫ</t>
  </si>
  <si>
    <t>9. Показатели деятельности</t>
  </si>
  <si>
    <t>10.Экспорт</t>
  </si>
  <si>
    <t>11.Российский рынок</t>
  </si>
  <si>
    <t>12. Приоритетные направления</t>
  </si>
  <si>
    <t>13. Оценка внешних факторов</t>
  </si>
  <si>
    <t>Благодарим Вас за участие в важном для отрасли исследовании! </t>
  </si>
  <si>
    <t>Результаты будут представлены на нашем сайте в виде пресс-релизов и в СМИ по мере готовности ключевых разделов и глав. </t>
  </si>
  <si>
    <t>Целиком отчет к исследованию будет готов осенью 2019 года и будет размещен на сайте РУССОФТ в разделе «Аналитика»: https://russoft.org/russoft-analytics/</t>
  </si>
  <si>
    <t>раздел 1</t>
  </si>
  <si>
    <t>раздел 2</t>
  </si>
  <si>
    <t>раздел 3</t>
  </si>
  <si>
    <t>раздел 4</t>
  </si>
  <si>
    <t>раздел 5</t>
  </si>
  <si>
    <t>раздел 6</t>
  </si>
  <si>
    <t>раздел 7</t>
  </si>
  <si>
    <t>география</t>
  </si>
  <si>
    <t>отраслевая специализация</t>
  </si>
  <si>
    <t>язык основной</t>
  </si>
  <si>
    <t>другие языки</t>
  </si>
  <si>
    <t>инструментальные средства</t>
  </si>
  <si>
    <t>ОС</t>
  </si>
  <si>
    <t>СУБД</t>
  </si>
  <si>
    <t>доля затрат</t>
  </si>
  <si>
    <t>затраты на аренду</t>
  </si>
  <si>
    <t>как изменилась стоимость аренды</t>
  </si>
  <si>
    <t>количество сотрудников</t>
  </si>
  <si>
    <t>изменение чел.2015</t>
  </si>
  <si>
    <t>доля новых сотрудников из-за рубежа</t>
  </si>
  <si>
    <t>миграция - проблема?</t>
  </si>
  <si>
    <t>изменение чел.2016 (прогноз)</t>
  </si>
  <si>
    <t xml:space="preserve">Встроенное ПО </t>
  </si>
  <si>
    <t>Тиражируемые системы управления (ERP, CRM, ECM, СЭД, САПР, АСУ ТП и др.)</t>
  </si>
  <si>
    <t>Разработка базового ПО (СУБД, ОС, офисные приложения, и пр.)</t>
  </si>
  <si>
    <t>нет представительств</t>
  </si>
  <si>
    <t>как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</si>
</sst>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7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i/>
      <sz val="11"/>
      <color indexed="49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60"/>
      <name val="Calibri"/>
      <family val="2"/>
      <charset val="204"/>
    </font>
    <font>
      <b/>
      <u/>
      <sz val="11"/>
      <color indexed="8"/>
      <name val="Calibri"/>
      <family val="2"/>
      <charset val="204"/>
    </font>
    <font>
      <sz val="11"/>
      <color indexed="53"/>
      <name val="Calibri"/>
      <family val="2"/>
      <charset val="204"/>
    </font>
    <font>
      <b/>
      <sz val="11"/>
      <color indexed="30"/>
      <name val="Calibri"/>
      <family val="2"/>
      <charset val="204"/>
    </font>
    <font>
      <i/>
      <sz val="11"/>
      <name val="Calibri"/>
      <family val="2"/>
      <charset val="204"/>
    </font>
    <font>
      <b/>
      <sz val="7"/>
      <color indexed="8"/>
      <name val="Times New Roman"/>
      <family val="1"/>
      <charset val="204"/>
    </font>
    <font>
      <b/>
      <sz val="11"/>
      <color indexed="53"/>
      <name val="Calibri"/>
      <family val="2"/>
      <charset val="204"/>
    </font>
    <font>
      <sz val="7"/>
      <color indexed="8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b/>
      <u/>
      <sz val="11"/>
      <color indexed="52"/>
      <name val="Calibri"/>
      <family val="2"/>
      <charset val="204"/>
    </font>
    <font>
      <u/>
      <sz val="11"/>
      <color indexed="8"/>
      <name val="Calibri"/>
      <family val="2"/>
      <charset val="204"/>
    </font>
    <font>
      <b/>
      <sz val="16"/>
      <color indexed="10"/>
      <name val="Calibri"/>
      <family val="2"/>
      <charset val="204"/>
    </font>
    <font>
      <b/>
      <sz val="11"/>
      <color indexed="25"/>
      <name val="Calibri"/>
      <family val="2"/>
      <charset val="204"/>
    </font>
    <font>
      <b/>
      <sz val="10"/>
      <color indexed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i/>
      <sz val="11"/>
      <name val="Calibri"/>
      <family val="2"/>
      <charset val="204"/>
    </font>
    <font>
      <b/>
      <u/>
      <sz val="14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2"/>
      <name val="Calibri"/>
      <family val="2"/>
      <charset val="204"/>
    </font>
    <font>
      <sz val="10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2"/>
      <color indexed="62"/>
      <name val="Calibri"/>
      <family val="2"/>
      <charset val="204"/>
    </font>
    <font>
      <b/>
      <u/>
      <sz val="11"/>
      <color indexed="62"/>
      <name val="Calibri"/>
      <family val="2"/>
      <charset val="204"/>
    </font>
    <font>
      <b/>
      <sz val="11"/>
      <color indexed="49"/>
      <name val="Calibri"/>
      <family val="2"/>
      <charset val="204"/>
    </font>
    <font>
      <sz val="12"/>
      <name val="Calibri"/>
      <family val="2"/>
      <charset val="204"/>
    </font>
    <font>
      <b/>
      <sz val="7"/>
      <color indexed="8"/>
      <name val="Calibri"/>
      <family val="2"/>
      <charset val="204"/>
    </font>
    <font>
      <b/>
      <sz val="11"/>
      <color indexed="27"/>
      <name val="Calibri"/>
      <family val="2"/>
      <charset val="204"/>
    </font>
    <font>
      <b/>
      <sz val="10"/>
      <color indexed="10"/>
      <name val="Calibri"/>
      <family val="2"/>
      <charset val="204"/>
    </font>
    <font>
      <sz val="7"/>
      <color indexed="8"/>
      <name val="Calibri"/>
      <family val="2"/>
      <charset val="204"/>
    </font>
    <font>
      <b/>
      <sz val="11"/>
      <color indexed="40"/>
      <name val="Calibri"/>
      <family val="2"/>
      <charset val="204"/>
    </font>
    <font>
      <b/>
      <u/>
      <sz val="11"/>
      <name val="Calibri"/>
      <family val="2"/>
      <charset val="204"/>
    </font>
    <font>
      <b/>
      <u/>
      <sz val="11"/>
      <color indexed="40"/>
      <name val="Calibri"/>
      <family val="2"/>
      <charset val="204"/>
    </font>
    <font>
      <b/>
      <sz val="11"/>
      <color indexed="12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27"/>
      </patternFill>
    </fill>
    <fill>
      <patternFill patternType="solid">
        <fgColor indexed="27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25"/>
        <bgColor indexed="60"/>
      </patternFill>
    </fill>
    <fill>
      <patternFill patternType="solid">
        <fgColor indexed="22"/>
        <bgColor indexed="31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3">
    <xf numFmtId="0" fontId="0" fillId="0" borderId="0"/>
    <xf numFmtId="0" fontId="1" fillId="0" borderId="0"/>
    <xf numFmtId="0" fontId="24" fillId="0" borderId="0" applyNumberFormat="0" applyFill="0" applyBorder="0" applyAlignment="0" applyProtection="0"/>
  </cellStyleXfs>
  <cellXfs count="229">
    <xf numFmtId="0" fontId="0" fillId="0" borderId="0" xfId="0"/>
    <xf numFmtId="0" fontId="1" fillId="0" borderId="0" xfId="1"/>
    <xf numFmtId="0" fontId="2" fillId="0" borderId="0" xfId="1" applyFont="1" applyAlignment="1">
      <alignment horizontal="left"/>
    </xf>
    <xf numFmtId="0" fontId="1" fillId="0" borderId="0" xfId="1" applyAlignment="1">
      <alignment horizontal="center"/>
    </xf>
    <xf numFmtId="0" fontId="2" fillId="0" borderId="0" xfId="1" applyFont="1"/>
    <xf numFmtId="0" fontId="7" fillId="0" borderId="1" xfId="0" applyFont="1" applyBorder="1" applyAlignment="1">
      <alignment horizontal="center"/>
    </xf>
    <xf numFmtId="0" fontId="2" fillId="0" borderId="2" xfId="1" applyFont="1" applyBorder="1" applyAlignment="1">
      <alignment horizontal="left"/>
    </xf>
    <xf numFmtId="0" fontId="2" fillId="0" borderId="2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right" vertical="center" wrapText="1"/>
    </xf>
    <xf numFmtId="0" fontId="6" fillId="0" borderId="1" xfId="1" applyFont="1" applyBorder="1" applyAlignment="1">
      <alignment vertical="top" wrapText="1"/>
    </xf>
    <xf numFmtId="0" fontId="14" fillId="0" borderId="1" xfId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top"/>
    </xf>
    <xf numFmtId="0" fontId="7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1" xfId="1" applyFont="1" applyBorder="1" applyAlignment="1">
      <alignment horizontal="right" vertical="center"/>
    </xf>
    <xf numFmtId="0" fontId="9" fillId="0" borderId="2" xfId="1" applyFont="1" applyFill="1" applyBorder="1" applyAlignment="1">
      <alignment vertical="center" wrapText="1"/>
    </xf>
    <xf numFmtId="0" fontId="2" fillId="0" borderId="0" xfId="1" applyFont="1" applyBorder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9" fillId="0" borderId="2" xfId="0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0" xfId="1" applyFont="1"/>
    <xf numFmtId="0" fontId="1" fillId="0" borderId="0" xfId="1" applyAlignment="1">
      <alignment horizontal="left"/>
    </xf>
    <xf numFmtId="0" fontId="9" fillId="0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9" fillId="2" borderId="2" xfId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vertical="top"/>
    </xf>
    <xf numFmtId="0" fontId="8" fillId="0" borderId="1" xfId="1" applyFont="1" applyBorder="1" applyAlignment="1">
      <alignment horizontal="right" vertical="top" wrapText="1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center" wrapText="1"/>
    </xf>
    <xf numFmtId="0" fontId="1" fillId="0" borderId="0" xfId="1" applyAlignment="1">
      <alignment wrapText="1"/>
    </xf>
    <xf numFmtId="0" fontId="2" fillId="0" borderId="0" xfId="1" applyFont="1" applyAlignment="1">
      <alignment wrapText="1"/>
    </xf>
    <xf numFmtId="0" fontId="9" fillId="0" borderId="0" xfId="1" applyFont="1" applyAlignment="1">
      <alignment horizontal="center"/>
    </xf>
    <xf numFmtId="0" fontId="7" fillId="0" borderId="0" xfId="1" applyFont="1"/>
    <xf numFmtId="0" fontId="9" fillId="0" borderId="0" xfId="0" applyFont="1"/>
    <xf numFmtId="0" fontId="9" fillId="0" borderId="0" xfId="1" applyFont="1" applyAlignment="1"/>
    <xf numFmtId="0" fontId="9" fillId="0" borderId="0" xfId="0" applyFont="1" applyAlignment="1"/>
    <xf numFmtId="0" fontId="7" fillId="0" borderId="0" xfId="1" applyFont="1" applyAlignment="1">
      <alignment horizontal="left"/>
    </xf>
    <xf numFmtId="0" fontId="1" fillId="0" borderId="0" xfId="1" applyFont="1"/>
    <xf numFmtId="0" fontId="3" fillId="0" borderId="0" xfId="1" applyFont="1" applyFill="1" applyBorder="1" applyAlignment="1">
      <alignment horizontal="left" vertical="center" wrapText="1"/>
    </xf>
    <xf numFmtId="0" fontId="22" fillId="0" borderId="0" xfId="1" applyFont="1" applyFill="1" applyBorder="1" applyAlignment="1">
      <alignment horizontal="left" vertical="center" wrapText="1"/>
    </xf>
    <xf numFmtId="0" fontId="23" fillId="0" borderId="0" xfId="2" applyNumberFormat="1" applyFont="1" applyFill="1" applyBorder="1" applyAlignment="1" applyProtection="1">
      <alignment horizontal="left" vertical="center" wrapText="1"/>
    </xf>
    <xf numFmtId="0" fontId="25" fillId="0" borderId="0" xfId="1" applyFont="1" applyFill="1" applyBorder="1" applyAlignment="1">
      <alignment horizontal="left" vertical="center" wrapText="1"/>
    </xf>
    <xf numFmtId="0" fontId="26" fillId="3" borderId="0" xfId="2" applyNumberFormat="1" applyFont="1" applyFill="1" applyBorder="1" applyAlignment="1" applyProtection="1">
      <alignment horizontal="center" vertical="center"/>
    </xf>
    <xf numFmtId="0" fontId="27" fillId="0" borderId="0" xfId="1" applyFont="1" applyAlignment="1">
      <alignment vertical="center"/>
    </xf>
    <xf numFmtId="0" fontId="6" fillId="0" borderId="0" xfId="1" applyFont="1" applyAlignment="1">
      <alignment horizontal="center"/>
    </xf>
    <xf numFmtId="0" fontId="6" fillId="0" borderId="5" xfId="1" applyFont="1" applyFill="1" applyBorder="1" applyAlignment="1">
      <alignment horizontal="center" vertical="center" wrapText="1"/>
    </xf>
    <xf numFmtId="0" fontId="6" fillId="4" borderId="5" xfId="1" applyFont="1" applyFill="1" applyBorder="1" applyAlignment="1">
      <alignment horizontal="left" vertical="center" wrapText="1"/>
    </xf>
    <xf numFmtId="0" fontId="6" fillId="5" borderId="5" xfId="1" applyFont="1" applyFill="1" applyBorder="1" applyAlignment="1">
      <alignment horizontal="left" vertical="center" wrapText="1"/>
    </xf>
    <xf numFmtId="0" fontId="6" fillId="6" borderId="5" xfId="1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29" fillId="0" borderId="0" xfId="0" applyFont="1"/>
    <xf numFmtId="0" fontId="1" fillId="0" borderId="0" xfId="1" applyFont="1" applyAlignment="1">
      <alignment horizontal="center"/>
    </xf>
    <xf numFmtId="0" fontId="30" fillId="3" borderId="6" xfId="2" applyNumberFormat="1" applyFont="1" applyFill="1" applyBorder="1" applyAlignment="1" applyProtection="1">
      <alignment horizontal="center" vertical="center" wrapText="1"/>
    </xf>
    <xf numFmtId="0" fontId="30" fillId="0" borderId="0" xfId="1" applyFont="1"/>
    <xf numFmtId="0" fontId="30" fillId="0" borderId="0" xfId="0" applyFont="1"/>
    <xf numFmtId="0" fontId="30" fillId="0" borderId="0" xfId="2" applyNumberFormat="1" applyFont="1" applyFill="1" applyBorder="1" applyAlignment="1" applyProtection="1">
      <alignment horizontal="center" vertical="center" wrapText="1"/>
    </xf>
    <xf numFmtId="0" fontId="30" fillId="0" borderId="0" xfId="1" applyFont="1" applyAlignment="1">
      <alignment horizontal="left"/>
    </xf>
    <xf numFmtId="0" fontId="30" fillId="0" borderId="0" xfId="1" applyFont="1" applyAlignment="1">
      <alignment horizontal="center"/>
    </xf>
    <xf numFmtId="0" fontId="32" fillId="3" borderId="6" xfId="2" applyNumberFormat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0" fontId="8" fillId="0" borderId="3" xfId="1" applyFont="1" applyBorder="1" applyAlignment="1">
      <alignment horizontal="right" vertical="center" wrapText="1"/>
    </xf>
    <xf numFmtId="0" fontId="6" fillId="3" borderId="3" xfId="0" applyFont="1" applyFill="1" applyBorder="1" applyAlignment="1">
      <alignment horizontal="center"/>
    </xf>
    <xf numFmtId="0" fontId="3" fillId="0" borderId="1" xfId="1" applyFont="1" applyBorder="1" applyAlignment="1">
      <alignment vertical="top" wrapText="1"/>
    </xf>
    <xf numFmtId="0" fontId="34" fillId="0" borderId="0" xfId="0" applyFont="1" applyAlignment="1">
      <alignment vertical="center"/>
    </xf>
    <xf numFmtId="0" fontId="8" fillId="3" borderId="1" xfId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8" fillId="0" borderId="0" xfId="1" applyFont="1" applyAlignment="1">
      <alignment horizontal="center"/>
    </xf>
    <xf numFmtId="0" fontId="8" fillId="0" borderId="0" xfId="1" applyFont="1"/>
    <xf numFmtId="0" fontId="6" fillId="0" borderId="0" xfId="1" applyFont="1"/>
    <xf numFmtId="0" fontId="8" fillId="3" borderId="1" xfId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8" fillId="3" borderId="2" xfId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8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9" fontId="6" fillId="3" borderId="1" xfId="1" applyNumberFormat="1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1" fillId="0" borderId="0" xfId="1" applyNumberFormat="1" applyFont="1" applyAlignment="1">
      <alignment horizontal="left"/>
    </xf>
    <xf numFmtId="0" fontId="3" fillId="5" borderId="0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1" fillId="0" borderId="0" xfId="1" applyFont="1" applyAlignment="1">
      <alignment horizontal="left"/>
    </xf>
    <xf numFmtId="0" fontId="6" fillId="0" borderId="3" xfId="0" applyFont="1" applyFill="1" applyBorder="1" applyAlignment="1">
      <alignment horizontal="center"/>
    </xf>
    <xf numFmtId="0" fontId="3" fillId="0" borderId="0" xfId="1" applyFont="1" applyBorder="1" applyAlignment="1">
      <alignment horizontal="center" vertical="top" wrapText="1"/>
    </xf>
    <xf numFmtId="0" fontId="9" fillId="3" borderId="2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0" borderId="0" xfId="1" applyFont="1" applyAlignment="1">
      <alignment horizontal="center" wrapText="1"/>
    </xf>
    <xf numFmtId="0" fontId="1" fillId="0" borderId="0" xfId="1" applyFont="1" applyAlignment="1">
      <alignment wrapText="1"/>
    </xf>
    <xf numFmtId="0" fontId="3" fillId="3" borderId="3" xfId="0" applyFont="1" applyFill="1" applyBorder="1" applyAlignment="1">
      <alignment horizontal="center"/>
    </xf>
    <xf numFmtId="0" fontId="1" fillId="0" borderId="1" xfId="1" applyFont="1" applyBorder="1"/>
    <xf numFmtId="0" fontId="3" fillId="0" borderId="1" xfId="1" applyFont="1" applyBorder="1" applyAlignment="1">
      <alignment vertical="center" wrapText="1"/>
    </xf>
    <xf numFmtId="0" fontId="7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1" fillId="0" borderId="0" xfId="1" applyFont="1" applyAlignment="1">
      <alignment horizontal="center" vertical="center" wrapText="1"/>
    </xf>
    <xf numFmtId="0" fontId="1" fillId="0" borderId="0" xfId="1" applyFont="1" applyAlignment="1">
      <alignment vertical="center" wrapText="1"/>
    </xf>
    <xf numFmtId="0" fontId="2" fillId="0" borderId="0" xfId="1" applyFont="1" applyAlignment="1">
      <alignment vertical="center" wrapText="1"/>
    </xf>
    <xf numFmtId="0" fontId="1" fillId="0" borderId="0" xfId="1" applyAlignment="1">
      <alignment vertical="center" wrapText="1"/>
    </xf>
    <xf numFmtId="0" fontId="30" fillId="0" borderId="0" xfId="1" applyFont="1" applyAlignment="1">
      <alignment horizontal="left" vertical="center"/>
    </xf>
    <xf numFmtId="0" fontId="1" fillId="5" borderId="0" xfId="1" applyFill="1"/>
    <xf numFmtId="0" fontId="1" fillId="5" borderId="6" xfId="1" applyFont="1" applyFill="1" applyBorder="1" applyAlignment="1">
      <alignment horizontal="center"/>
    </xf>
    <xf numFmtId="0" fontId="1" fillId="0" borderId="7" xfId="1" applyBorder="1" applyAlignment="1">
      <alignment horizontal="center" vertical="center" wrapText="1"/>
    </xf>
    <xf numFmtId="0" fontId="1" fillId="5" borderId="0" xfId="1" applyFill="1" applyAlignment="1">
      <alignment vertical="center" wrapText="1"/>
    </xf>
    <xf numFmtId="0" fontId="1" fillId="0" borderId="8" xfId="1" applyBorder="1" applyAlignment="1">
      <alignment horizontal="center" vertical="center" wrapText="1"/>
    </xf>
    <xf numFmtId="0" fontId="1" fillId="0" borderId="9" xfId="1" applyBorder="1" applyAlignment="1">
      <alignment horizontal="left" textRotation="90" wrapText="1"/>
    </xf>
    <xf numFmtId="0" fontId="1" fillId="0" borderId="3" xfId="1" applyBorder="1" applyAlignment="1">
      <alignment horizontal="left" textRotation="90" wrapText="1"/>
    </xf>
    <xf numFmtId="0" fontId="1" fillId="0" borderId="10" xfId="1" applyBorder="1" applyAlignment="1">
      <alignment horizontal="center" vertical="top" wrapText="1"/>
    </xf>
    <xf numFmtId="0" fontId="1" fillId="0" borderId="9" xfId="1" applyBorder="1" applyAlignment="1">
      <alignment horizontal="center" textRotation="90" wrapText="1"/>
    </xf>
    <xf numFmtId="0" fontId="1" fillId="0" borderId="3" xfId="1" applyBorder="1" applyAlignment="1">
      <alignment horizontal="center" textRotation="90" wrapText="1"/>
    </xf>
    <xf numFmtId="0" fontId="1" fillId="0" borderId="10" xfId="1" applyBorder="1" applyAlignment="1">
      <alignment horizontal="center" textRotation="90" wrapText="1"/>
    </xf>
    <xf numFmtId="0" fontId="1" fillId="0" borderId="11" xfId="1" applyBorder="1" applyAlignment="1">
      <alignment horizontal="center" textRotation="90" wrapText="1"/>
    </xf>
    <xf numFmtId="0" fontId="1" fillId="0" borderId="5" xfId="1" applyBorder="1" applyAlignment="1">
      <alignment horizontal="center" textRotation="90" wrapText="1"/>
    </xf>
    <xf numFmtId="0" fontId="1" fillId="0" borderId="12" xfId="1" applyBorder="1" applyAlignment="1">
      <alignment horizontal="center" textRotation="90" wrapText="1"/>
    </xf>
    <xf numFmtId="0" fontId="1" fillId="0" borderId="13" xfId="1" applyBorder="1" applyAlignment="1">
      <alignment horizontal="center" textRotation="90" wrapText="1"/>
    </xf>
    <xf numFmtId="0" fontId="1" fillId="0" borderId="14" xfId="1" applyBorder="1" applyAlignment="1">
      <alignment horizontal="center" textRotation="90" wrapText="1"/>
    </xf>
    <xf numFmtId="0" fontId="1" fillId="0" borderId="15" xfId="1" applyBorder="1" applyAlignment="1">
      <alignment horizontal="center" textRotation="90" wrapText="1"/>
    </xf>
    <xf numFmtId="0" fontId="1" fillId="5" borderId="16" xfId="1" applyFill="1" applyBorder="1" applyAlignment="1">
      <alignment horizontal="center" vertical="top" wrapText="1"/>
    </xf>
    <xf numFmtId="0" fontId="1" fillId="5" borderId="17" xfId="1" applyFill="1" applyBorder="1" applyAlignment="1">
      <alignment horizontal="center" vertical="top" wrapText="1"/>
    </xf>
    <xf numFmtId="0" fontId="1" fillId="5" borderId="17" xfId="1" applyFill="1" applyBorder="1" applyAlignment="1">
      <alignment horizontal="center" textRotation="90" wrapText="1"/>
    </xf>
    <xf numFmtId="0" fontId="1" fillId="5" borderId="17" xfId="1" applyFill="1" applyBorder="1" applyAlignment="1">
      <alignment vertical="center" wrapText="1"/>
    </xf>
    <xf numFmtId="0" fontId="1" fillId="5" borderId="18" xfId="1" applyFill="1" applyBorder="1" applyAlignment="1">
      <alignment vertical="center" wrapText="1"/>
    </xf>
    <xf numFmtId="0" fontId="1" fillId="0" borderId="19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20" xfId="1" applyBorder="1" applyAlignment="1">
      <alignment horizontal="center" vertical="center" wrapText="1"/>
    </xf>
    <xf numFmtId="0" fontId="1" fillId="5" borderId="0" xfId="1" applyFill="1" applyAlignment="1">
      <alignment horizontal="center" vertical="center" wrapText="1"/>
    </xf>
    <xf numFmtId="0" fontId="1" fillId="0" borderId="21" xfId="1" applyBorder="1" applyAlignment="1">
      <alignment horizontal="center" vertical="center" wrapText="1"/>
    </xf>
    <xf numFmtId="0" fontId="1" fillId="0" borderId="22" xfId="1" applyBorder="1" applyAlignment="1">
      <alignment horizontal="center" vertical="center" wrapText="1"/>
    </xf>
    <xf numFmtId="0" fontId="1" fillId="0" borderId="23" xfId="1" applyBorder="1" applyAlignment="1">
      <alignment horizontal="center" vertical="center" wrapText="1"/>
    </xf>
    <xf numFmtId="0" fontId="1" fillId="0" borderId="24" xfId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25" xfId="1" applyBorder="1" applyAlignment="1">
      <alignment vertical="center" wrapText="1"/>
    </xf>
    <xf numFmtId="0" fontId="1" fillId="0" borderId="1" xfId="1" applyBorder="1" applyAlignment="1">
      <alignment vertical="center" wrapText="1"/>
    </xf>
    <xf numFmtId="0" fontId="1" fillId="0" borderId="26" xfId="1" applyBorder="1" applyAlignment="1">
      <alignment vertical="center" wrapText="1"/>
    </xf>
    <xf numFmtId="0" fontId="1" fillId="0" borderId="27" xfId="1" applyBorder="1" applyAlignment="1">
      <alignment vertical="center" wrapText="1"/>
    </xf>
    <xf numFmtId="0" fontId="1" fillId="0" borderId="28" xfId="1" applyBorder="1" applyAlignment="1">
      <alignment vertical="center" wrapText="1"/>
    </xf>
    <xf numFmtId="0" fontId="1" fillId="0" borderId="13" xfId="1" applyBorder="1" applyAlignment="1">
      <alignment vertical="center" wrapText="1"/>
    </xf>
    <xf numFmtId="0" fontId="1" fillId="0" borderId="14" xfId="1" applyBorder="1" applyAlignment="1">
      <alignment vertical="center" wrapText="1"/>
    </xf>
    <xf numFmtId="0" fontId="1" fillId="0" borderId="15" xfId="1" applyBorder="1" applyAlignment="1">
      <alignment vertical="center" wrapText="1"/>
    </xf>
    <xf numFmtId="0" fontId="1" fillId="0" borderId="29" xfId="1" applyBorder="1" applyAlignment="1">
      <alignment vertical="center" wrapText="1"/>
    </xf>
    <xf numFmtId="0" fontId="1" fillId="0" borderId="30" xfId="1" applyBorder="1" applyAlignment="1">
      <alignment vertical="center" wrapText="1"/>
    </xf>
    <xf numFmtId="0" fontId="7" fillId="0" borderId="0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top" wrapText="1"/>
    </xf>
    <xf numFmtId="0" fontId="21" fillId="0" borderId="3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3" fillId="5" borderId="1" xfId="1" applyFont="1" applyFill="1" applyBorder="1" applyAlignment="1">
      <alignment horizontal="center" vertical="center"/>
    </xf>
    <xf numFmtId="0" fontId="1" fillId="0" borderId="1" xfId="1" applyFont="1" applyBorder="1" applyAlignment="1">
      <alignment horizontal="center" wrapText="1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left" wrapText="1"/>
    </xf>
    <xf numFmtId="0" fontId="9" fillId="0" borderId="1" xfId="1" applyFont="1" applyFill="1" applyBorder="1" applyAlignment="1">
      <alignment horizontal="center" vertical="top" wrapText="1"/>
    </xf>
    <xf numFmtId="0" fontId="1" fillId="0" borderId="1" xfId="1" applyFont="1" applyBorder="1" applyAlignment="1">
      <alignment horizontal="left" vertical="top" wrapText="1" indent="2"/>
    </xf>
    <xf numFmtId="0" fontId="1" fillId="0" borderId="1" xfId="1" applyFont="1" applyFill="1" applyBorder="1" applyAlignment="1">
      <alignment horizontal="left" vertical="top" wrapText="1" indent="2"/>
    </xf>
    <xf numFmtId="0" fontId="10" fillId="0" borderId="0" xfId="1" applyFont="1" applyBorder="1" applyAlignment="1">
      <alignment wrapText="1"/>
    </xf>
    <xf numFmtId="0" fontId="3" fillId="0" borderId="4" xfId="1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center" wrapText="1" indent="4"/>
    </xf>
    <xf numFmtId="0" fontId="1" fillId="0" borderId="1" xfId="0" applyFont="1" applyBorder="1" applyAlignment="1">
      <alignment horizontal="left" vertical="center" wrapText="1" indent="4"/>
    </xf>
    <xf numFmtId="0" fontId="3" fillId="0" borderId="3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 indent="2"/>
    </xf>
    <xf numFmtId="0" fontId="1" fillId="0" borderId="1" xfId="1" applyFont="1" applyBorder="1" applyAlignment="1">
      <alignment horizontal="left" vertical="center" wrapText="1" indent="2"/>
    </xf>
    <xf numFmtId="0" fontId="1" fillId="0" borderId="1" xfId="1" applyFont="1" applyBorder="1" applyAlignment="1">
      <alignment horizontal="left" vertical="top" wrapText="1"/>
    </xf>
    <xf numFmtId="0" fontId="1" fillId="0" borderId="1" xfId="1" applyFont="1" applyBorder="1" applyAlignment="1">
      <alignment horizontal="left" vertical="center" wrapText="1" indent="4"/>
    </xf>
    <xf numFmtId="0" fontId="1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right" vertical="center" wrapText="1"/>
    </xf>
    <xf numFmtId="0" fontId="3" fillId="0" borderId="1" xfId="1" applyFont="1" applyBorder="1" applyAlignment="1">
      <alignment horizontal="left" wrapText="1"/>
    </xf>
    <xf numFmtId="0" fontId="14" fillId="0" borderId="1" xfId="1" applyFont="1" applyFill="1" applyBorder="1" applyAlignment="1">
      <alignment horizontal="center" vertical="top" wrapText="1"/>
    </xf>
    <xf numFmtId="0" fontId="3" fillId="5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 wrapText="1"/>
    </xf>
    <xf numFmtId="0" fontId="9" fillId="0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top" wrapText="1" indent="2"/>
    </xf>
    <xf numFmtId="0" fontId="3" fillId="0" borderId="1" xfId="1" applyFont="1" applyFill="1" applyBorder="1" applyAlignment="1">
      <alignment horizontal="center" vertical="top" wrapText="1"/>
    </xf>
    <xf numFmtId="0" fontId="1" fillId="0" borderId="4" xfId="1" applyFont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top" wrapText="1"/>
    </xf>
    <xf numFmtId="0" fontId="3" fillId="0" borderId="4" xfId="1" applyFont="1" applyFill="1" applyBorder="1" applyAlignment="1">
      <alignment horizontal="center" vertical="top" wrapText="1"/>
    </xf>
    <xf numFmtId="0" fontId="31" fillId="0" borderId="0" xfId="0" applyFont="1" applyBorder="1" applyAlignment="1">
      <alignment horizontal="center"/>
    </xf>
    <xf numFmtId="0" fontId="3" fillId="0" borderId="28" xfId="1" applyFont="1" applyBorder="1" applyAlignment="1">
      <alignment horizontal="left" vertical="top" wrapText="1"/>
    </xf>
    <xf numFmtId="0" fontId="3" fillId="0" borderId="2" xfId="1" applyFont="1" applyFill="1" applyBorder="1" applyAlignment="1">
      <alignment horizontal="center" vertical="top" wrapText="1"/>
    </xf>
    <xf numFmtId="0" fontId="24" fillId="0" borderId="1" xfId="2" applyNumberFormat="1" applyFill="1" applyBorder="1" applyAlignment="1" applyProtection="1">
      <alignment horizontal="center" vertical="top" wrapText="1"/>
    </xf>
    <xf numFmtId="0" fontId="3" fillId="7" borderId="1" xfId="1" applyFont="1" applyFill="1" applyBorder="1" applyAlignment="1">
      <alignment horizontal="center"/>
    </xf>
    <xf numFmtId="0" fontId="8" fillId="3" borderId="3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/>
    </xf>
    <xf numFmtId="0" fontId="1" fillId="0" borderId="28" xfId="1" applyFont="1" applyBorder="1" applyAlignment="1">
      <alignment horizontal="left" vertical="top" wrapText="1"/>
    </xf>
    <xf numFmtId="0" fontId="3" fillId="3" borderId="3" xfId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 vertical="top" wrapText="1"/>
    </xf>
    <xf numFmtId="0" fontId="6" fillId="0" borderId="1" xfId="1" applyFont="1" applyBorder="1" applyAlignment="1">
      <alignment horizontal="left" vertical="top" wrapText="1"/>
    </xf>
    <xf numFmtId="0" fontId="1" fillId="3" borderId="1" xfId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6" fillId="3" borderId="1" xfId="0" applyFont="1" applyFill="1" applyBorder="1" applyAlignment="1">
      <alignment horizontal="center" vertical="top" wrapText="1"/>
    </xf>
    <xf numFmtId="0" fontId="42" fillId="0" borderId="0" xfId="2" applyNumberFormat="1" applyFont="1" applyFill="1" applyBorder="1" applyAlignment="1" applyProtection="1">
      <alignment horizontal="center" vertical="center" wrapText="1"/>
    </xf>
    <xf numFmtId="0" fontId="24" fillId="0" borderId="0" xfId="2" applyNumberFormat="1" applyFill="1" applyBorder="1" applyAlignment="1" applyProtection="1">
      <alignment horizontal="center"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42" fillId="3" borderId="1" xfId="2" applyNumberFormat="1" applyFont="1" applyFill="1" applyBorder="1" applyAlignment="1" applyProtection="1">
      <alignment horizontal="center" vertical="center" wrapText="1"/>
    </xf>
    <xf numFmtId="0" fontId="30" fillId="3" borderId="0" xfId="0" applyFont="1" applyFill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textRotation="90" wrapText="1"/>
    </xf>
    <xf numFmtId="0" fontId="1" fillId="0" borderId="7" xfId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top" wrapText="1"/>
    </xf>
    <xf numFmtId="0" fontId="1" fillId="0" borderId="6" xfId="1" applyBorder="1" applyAlignment="1">
      <alignment horizontal="center" vertical="center" wrapText="1"/>
    </xf>
    <xf numFmtId="0" fontId="1" fillId="0" borderId="33" xfId="1" applyBorder="1" applyAlignment="1">
      <alignment horizontal="center" vertical="top" wrapText="1"/>
    </xf>
    <xf numFmtId="0" fontId="1" fillId="0" borderId="34" xfId="1" applyBorder="1" applyAlignment="1">
      <alignment horizontal="center" vertical="top" wrapText="1"/>
    </xf>
    <xf numFmtId="0" fontId="1" fillId="0" borderId="32" xfId="1" applyFont="1" applyBorder="1" applyAlignment="1">
      <alignment horizontal="center" vertical="top" wrapText="1"/>
    </xf>
    <xf numFmtId="0" fontId="1" fillId="5" borderId="6" xfId="1" applyFont="1" applyFill="1" applyBorder="1" applyAlignment="1">
      <alignment horizontal="center"/>
    </xf>
  </cellXfs>
  <cellStyles count="3">
    <cellStyle name="Excel Built-in Normal" xfId="1"/>
    <cellStyle name="Hyperlink" xfId="2" builtinId="8"/>
    <cellStyle name="Normal" xfId="0" builtinId="0"/>
  </cellStyles>
  <dxfs count="170">
    <dxf>
      <font>
        <b val="0"/>
        <condense val="0"/>
        <extend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ndense val="0"/>
        <extend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ndense val="0"/>
        <extend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ndense val="0"/>
        <extend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ndense val="0"/>
        <extend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ndense val="0"/>
        <extend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ndense val="0"/>
        <extend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ndense val="0"/>
        <extend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ndense val="0"/>
        <extend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ndense val="0"/>
        <extend val="0"/>
        <color indexed="16"/>
      </font>
      <fill>
        <patternFill patternType="solid">
          <fgColor indexed="31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27"/>
          <bgColor indexed="26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condense val="0"/>
        <extend val="0"/>
        <color indexed="16"/>
      </font>
      <fill>
        <patternFill patternType="solid">
          <fgColor indexed="31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27"/>
          <bgColor indexed="26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ndense val="0"/>
        <extend val="0"/>
      </font>
      <fill>
        <patternFill patternType="solid">
          <fgColor indexed="27"/>
          <bgColor indexed="26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ndense val="0"/>
        <extend val="0"/>
      </font>
      <fill>
        <patternFill patternType="solid">
          <fgColor indexed="27"/>
          <bgColor indexed="26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26"/>
        </patternFill>
      </fill>
    </dxf>
    <dxf>
      <fill>
        <patternFill patternType="solid">
          <fgColor indexed="60"/>
          <bgColor indexed="25"/>
        </patternFill>
      </fill>
    </dxf>
    <dxf>
      <font>
        <b/>
        <i val="0"/>
        <condense val="0"/>
        <extend val="0"/>
      </font>
      <fill>
        <patternFill patternType="solid">
          <fgColor indexed="27"/>
          <bgColor indexed="26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60"/>
          <bgColor indexed="25"/>
        </patternFill>
      </fill>
    </dxf>
    <dxf>
      <fill>
        <patternFill patternType="solid">
          <fgColor indexed="27"/>
          <bgColor indexed="26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34"/>
          <bgColor indexed="1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</font>
      <fill>
        <patternFill patternType="solid">
          <fgColor indexed="34"/>
          <bgColor indexed="1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26"/>
        </patternFill>
      </fill>
    </dxf>
    <dxf>
      <fill>
        <patternFill patternType="solid">
          <fgColor indexed="26"/>
          <bgColor indexed="27"/>
        </patternFill>
      </fill>
    </dxf>
    <dxf>
      <font>
        <b/>
        <i val="0"/>
        <condense val="0"/>
        <extend val="0"/>
      </font>
      <fill>
        <patternFill patternType="solid">
          <fgColor indexed="27"/>
          <bgColor indexed="26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34"/>
          <bgColor indexed="1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</font>
      <fill>
        <patternFill patternType="solid">
          <fgColor indexed="34"/>
          <bgColor indexed="1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26"/>
        </patternFill>
      </fill>
    </dxf>
    <dxf>
      <fill>
        <patternFill patternType="solid">
          <fgColor indexed="60"/>
          <bgColor indexed="25"/>
        </patternFill>
      </fill>
    </dxf>
    <dxf>
      <fill>
        <patternFill patternType="solid">
          <fgColor indexed="26"/>
          <bgColor indexed="27"/>
        </patternFill>
      </fill>
    </dxf>
    <dxf>
      <font>
        <b/>
        <i val="0"/>
        <condense val="0"/>
        <extend val="0"/>
      </font>
      <fill>
        <patternFill patternType="solid">
          <fgColor indexed="27"/>
          <bgColor indexed="26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ndense val="0"/>
        <extend val="0"/>
        <color indexed="10"/>
      </font>
      <fill>
        <patternFill patternType="solid">
          <fgColor indexed="34"/>
          <bgColor indexed="1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</font>
      <fill>
        <patternFill patternType="solid">
          <fgColor indexed="34"/>
          <bgColor indexed="1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condense val="0"/>
        <extend val="0"/>
        <color indexed="16"/>
      </font>
      <fill>
        <patternFill patternType="solid">
          <fgColor indexed="26"/>
          <bgColor indexed="27"/>
        </patternFill>
      </fill>
    </dxf>
    <dxf>
      <font>
        <b val="0"/>
        <condense val="0"/>
        <extend val="0"/>
        <color indexed="16"/>
      </font>
      <fill>
        <patternFill patternType="solid">
          <fgColor indexed="26"/>
          <bgColor indexed="27"/>
        </patternFill>
      </fill>
    </dxf>
    <dxf>
      <font>
        <b val="0"/>
        <condense val="0"/>
        <extend val="0"/>
        <color indexed="16"/>
      </font>
      <fill>
        <patternFill patternType="solid">
          <fgColor indexed="26"/>
          <bgColor indexed="27"/>
        </patternFill>
      </fill>
    </dxf>
    <dxf>
      <font>
        <b/>
        <i val="0"/>
        <condense val="0"/>
        <extend val="0"/>
      </font>
      <fill>
        <patternFill patternType="solid">
          <fgColor indexed="27"/>
          <bgColor indexed="26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60"/>
          <bgColor indexed="25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34"/>
          <bgColor indexed="1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</font>
      <fill>
        <patternFill patternType="solid">
          <fgColor indexed="34"/>
          <bgColor indexed="1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condense val="0"/>
        <extend val="0"/>
        <color indexed="16"/>
      </font>
      <fill>
        <patternFill patternType="solid">
          <fgColor indexed="26"/>
          <bgColor indexed="27"/>
        </patternFill>
      </fill>
    </dxf>
    <dxf>
      <font>
        <b/>
        <i val="0"/>
        <condense val="0"/>
        <extend val="0"/>
      </font>
      <fill>
        <patternFill patternType="solid">
          <fgColor indexed="27"/>
          <bgColor indexed="26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60"/>
          <bgColor indexed="25"/>
        </patternFill>
      </fill>
    </dxf>
    <dxf>
      <fill>
        <patternFill patternType="solid">
          <fgColor indexed="27"/>
          <bgColor indexed="26"/>
        </patternFill>
      </fill>
    </dxf>
    <dxf>
      <fill>
        <patternFill patternType="solid">
          <fgColor indexed="60"/>
          <bgColor indexed="25"/>
        </patternFill>
      </fill>
    </dxf>
    <dxf>
      <fill>
        <patternFill patternType="solid">
          <fgColor indexed="27"/>
          <bgColor indexed="26"/>
        </patternFill>
      </fill>
    </dxf>
    <dxf>
      <fill>
        <patternFill patternType="solid">
          <fgColor indexed="60"/>
          <bgColor indexed="25"/>
        </patternFill>
      </fill>
    </dxf>
    <dxf>
      <fill>
        <patternFill patternType="solid">
          <fgColor indexed="27"/>
          <bgColor indexed="26"/>
        </patternFill>
      </fill>
    </dxf>
    <dxf>
      <fill>
        <patternFill patternType="solid">
          <fgColor indexed="26"/>
          <bgColor indexed="27"/>
        </patternFill>
      </fill>
    </dxf>
    <dxf>
      <fill>
        <patternFill patternType="solid">
          <fgColor indexed="26"/>
          <bgColor indexed="27"/>
        </patternFill>
      </fill>
    </dxf>
    <dxf>
      <fill>
        <patternFill patternType="solid">
          <fgColor indexed="26"/>
          <bgColor indexed="27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34"/>
          <bgColor indexed="1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</font>
      <fill>
        <patternFill patternType="solid">
          <fgColor indexed="34"/>
          <bgColor indexed="1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27"/>
        </patternFill>
      </fill>
    </dxf>
    <dxf>
      <fill>
        <patternFill patternType="solid">
          <fgColor indexed="26"/>
          <bgColor indexed="27"/>
        </patternFill>
      </fill>
    </dxf>
    <dxf>
      <font>
        <b/>
        <i val="0"/>
        <condense val="0"/>
        <extend val="0"/>
      </font>
      <fill>
        <patternFill patternType="solid">
          <fgColor indexed="27"/>
          <bgColor indexed="26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ndense val="0"/>
        <extend val="0"/>
        <color indexed="10"/>
      </font>
      <fill>
        <patternFill patternType="solid">
          <fgColor indexed="34"/>
          <bgColor indexed="1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</font>
      <fill>
        <patternFill patternType="solid">
          <fgColor indexed="34"/>
          <bgColor indexed="1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condense val="0"/>
        <extend val="0"/>
        <color indexed="16"/>
      </font>
      <fill>
        <patternFill patternType="solid">
          <fgColor indexed="31"/>
          <bgColor indexed="47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6"/>
          <bgColor indexed="27"/>
        </patternFill>
      </fill>
    </dxf>
    <dxf>
      <font>
        <b/>
        <i val="0"/>
        <condense val="0"/>
        <extend val="0"/>
      </font>
      <fill>
        <patternFill patternType="solid">
          <fgColor indexed="27"/>
          <bgColor indexed="26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60"/>
          <bgColor indexed="25"/>
        </patternFill>
      </fill>
    </dxf>
    <dxf>
      <fill>
        <patternFill patternType="solid">
          <fgColor indexed="26"/>
          <bgColor indexed="27"/>
        </patternFill>
      </fill>
    </dxf>
    <dxf>
      <fill>
        <patternFill patternType="solid">
          <fgColor indexed="26"/>
          <bgColor indexed="27"/>
        </patternFill>
      </fill>
    </dxf>
    <dxf>
      <fill>
        <patternFill patternType="solid">
          <fgColor indexed="26"/>
          <bgColor indexed="27"/>
        </patternFill>
      </fill>
    </dxf>
    <dxf>
      <fill>
        <patternFill patternType="solid">
          <fgColor indexed="26"/>
          <bgColor indexed="27"/>
        </patternFill>
      </fill>
    </dxf>
    <dxf>
      <fill>
        <patternFill patternType="solid">
          <fgColor indexed="26"/>
          <bgColor indexed="27"/>
        </patternFill>
      </fill>
    </dxf>
    <dxf>
      <fill>
        <patternFill patternType="solid">
          <fgColor indexed="26"/>
          <bgColor indexed="27"/>
        </patternFill>
      </fill>
    </dxf>
    <dxf>
      <fill>
        <patternFill patternType="solid">
          <fgColor indexed="26"/>
          <bgColor indexed="27"/>
        </patternFill>
      </fill>
    </dxf>
    <dxf>
      <fill>
        <patternFill patternType="solid">
          <fgColor indexed="26"/>
          <bgColor indexed="27"/>
        </patternFill>
      </fill>
    </dxf>
    <dxf>
      <fill>
        <patternFill patternType="solid">
          <fgColor indexed="26"/>
          <bgColor indexed="27"/>
        </patternFill>
      </fill>
    </dxf>
    <dxf>
      <fill>
        <patternFill patternType="solid">
          <fgColor indexed="26"/>
          <bgColor indexed="27"/>
        </patternFill>
      </fill>
    </dxf>
    <dxf>
      <fill>
        <patternFill patternType="solid">
          <fgColor indexed="27"/>
          <bgColor indexed="26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34"/>
          <bgColor indexed="1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</font>
      <fill>
        <patternFill patternType="solid">
          <fgColor indexed="34"/>
          <bgColor indexed="1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26"/>
        </patternFill>
      </fill>
    </dxf>
    <dxf>
      <fill>
        <patternFill patternType="solid">
          <fgColor indexed="26"/>
          <bgColor indexed="27"/>
        </patternFill>
      </fill>
    </dxf>
    <dxf>
      <fill>
        <patternFill patternType="solid">
          <fgColor indexed="26"/>
          <bgColor indexed="27"/>
        </patternFill>
      </fill>
    </dxf>
    <dxf>
      <fill>
        <patternFill patternType="solid">
          <fgColor indexed="26"/>
          <bgColor indexed="27"/>
        </patternFill>
      </fill>
    </dxf>
    <dxf>
      <fill>
        <patternFill patternType="solid">
          <fgColor indexed="26"/>
          <bgColor indexed="27"/>
        </patternFill>
      </fill>
    </dxf>
    <dxf>
      <fill>
        <patternFill patternType="solid">
          <fgColor indexed="26"/>
          <bgColor indexed="27"/>
        </patternFill>
      </fill>
    </dxf>
    <dxf>
      <fill>
        <patternFill patternType="solid">
          <fgColor indexed="26"/>
          <bgColor indexed="27"/>
        </patternFill>
      </fill>
    </dxf>
    <dxf>
      <fill>
        <patternFill patternType="solid">
          <fgColor indexed="26"/>
          <bgColor indexed="27"/>
        </patternFill>
      </fill>
    </dxf>
    <dxf>
      <fill>
        <patternFill patternType="solid">
          <fgColor indexed="26"/>
          <bgColor indexed="27"/>
        </patternFill>
      </fill>
    </dxf>
    <dxf>
      <fill>
        <patternFill patternType="solid">
          <fgColor indexed="26"/>
          <bgColor indexed="27"/>
        </patternFill>
      </fill>
    </dxf>
    <dxf>
      <fill>
        <patternFill patternType="solid">
          <fgColor indexed="26"/>
          <bgColor indexed="27"/>
        </patternFill>
      </fill>
    </dxf>
    <dxf>
      <fill>
        <patternFill patternType="solid">
          <fgColor indexed="26"/>
          <bgColor indexed="27"/>
        </patternFill>
      </fill>
    </dxf>
    <dxf>
      <fill>
        <patternFill patternType="solid">
          <fgColor indexed="27"/>
          <bgColor indexed="26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34"/>
          <bgColor indexed="1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</font>
      <fill>
        <patternFill patternType="solid">
          <fgColor indexed="34"/>
          <bgColor indexed="1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ndense val="0"/>
        <extend val="0"/>
      </font>
      <fill>
        <patternFill patternType="solid">
          <fgColor indexed="27"/>
          <bgColor indexed="26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27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7"/>
          <bgColor indexed="26"/>
        </patternFill>
      </fill>
    </dxf>
    <dxf>
      <fill>
        <patternFill patternType="solid">
          <fgColor indexed="27"/>
          <bgColor indexed="26"/>
        </patternFill>
      </fill>
    </dxf>
    <dxf>
      <fill>
        <patternFill patternType="solid">
          <fgColor indexed="60"/>
          <bgColor indexed="25"/>
        </patternFill>
      </fill>
    </dxf>
    <dxf>
      <font>
        <b/>
        <i val="0"/>
        <condense val="0"/>
        <extend val="0"/>
      </font>
      <fill>
        <patternFill patternType="solid">
          <fgColor indexed="27"/>
          <bgColor indexed="26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27"/>
        </patternFill>
      </fill>
    </dxf>
    <dxf>
      <fill>
        <patternFill patternType="solid">
          <fgColor indexed="26"/>
          <bgColor indexed="27"/>
        </patternFill>
      </fill>
    </dxf>
    <dxf>
      <fill>
        <patternFill patternType="solid">
          <fgColor indexed="26"/>
          <bgColor indexed="27"/>
        </patternFill>
      </fill>
    </dxf>
    <dxf>
      <fill>
        <patternFill patternType="solid">
          <fgColor indexed="26"/>
          <bgColor indexed="27"/>
        </patternFill>
      </fill>
    </dxf>
    <dxf>
      <fill>
        <patternFill patternType="solid">
          <fgColor indexed="27"/>
          <bgColor indexed="26"/>
        </patternFill>
      </fill>
    </dxf>
    <dxf>
      <fill>
        <patternFill patternType="solid">
          <fgColor indexed="60"/>
          <bgColor indexed="25"/>
        </patternFill>
      </fill>
    </dxf>
    <dxf>
      <font>
        <b val="0"/>
        <condense val="0"/>
        <extend val="0"/>
        <color indexed="16"/>
      </font>
      <fill>
        <patternFill patternType="solid">
          <fgColor indexed="31"/>
          <bgColor indexed="47"/>
        </patternFill>
      </fill>
    </dxf>
    <dxf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34"/>
          <bgColor indexed="1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</font>
      <fill>
        <patternFill patternType="solid">
          <fgColor indexed="34"/>
          <bgColor indexed="1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27"/>
        </patternFill>
      </fill>
    </dxf>
    <dxf>
      <fill>
        <patternFill patternType="solid">
          <fgColor indexed="26"/>
          <bgColor indexed="27"/>
        </patternFill>
      </fill>
    </dxf>
    <dxf>
      <font>
        <b/>
        <i val="0"/>
        <condense val="0"/>
        <extend val="0"/>
      </font>
      <fill>
        <patternFill patternType="solid">
          <fgColor indexed="27"/>
          <bgColor indexed="26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34"/>
          <bgColor indexed="1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</font>
      <fill>
        <patternFill patternType="solid">
          <fgColor indexed="34"/>
          <bgColor indexed="1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27"/>
        </patternFill>
      </fill>
    </dxf>
    <dxf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7"/>
          <bgColor indexed="26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34"/>
          <bgColor indexed="1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</font>
      <fill>
        <patternFill patternType="solid">
          <fgColor indexed="34"/>
          <bgColor indexed="1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27"/>
        </patternFill>
      </fill>
    </dxf>
    <dxf>
      <fill>
        <patternFill patternType="solid">
          <fgColor indexed="26"/>
          <bgColor indexed="27"/>
        </patternFill>
      </fill>
    </dxf>
    <dxf>
      <font>
        <b/>
        <i val="0"/>
        <condense val="0"/>
        <extend val="0"/>
      </font>
      <fill>
        <patternFill patternType="solid">
          <fgColor indexed="27"/>
          <bgColor indexed="26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34"/>
          <bgColor indexed="1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</font>
      <fill>
        <patternFill patternType="solid">
          <fgColor indexed="34"/>
          <bgColor indexed="1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26"/>
        </patternFill>
      </fill>
    </dxf>
    <dxf>
      <fill>
        <patternFill patternType="solid">
          <fgColor indexed="26"/>
          <bgColor indexed="27"/>
        </patternFill>
      </fill>
    </dxf>
    <dxf>
      <fill>
        <patternFill patternType="solid">
          <fgColor indexed="26"/>
          <bgColor indexed="27"/>
        </patternFill>
      </fill>
    </dxf>
    <dxf>
      <font>
        <b/>
        <i val="0"/>
        <condense val="0"/>
        <extend val="0"/>
      </font>
      <fill>
        <patternFill patternType="solid">
          <fgColor indexed="27"/>
          <bgColor indexed="26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27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26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34"/>
          <bgColor indexed="1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</font>
      <fill>
        <patternFill patternType="solid">
          <fgColor indexed="34"/>
          <bgColor indexed="1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27"/>
        </patternFill>
      </fill>
    </dxf>
    <dxf>
      <fill>
        <patternFill patternType="solid">
          <fgColor indexed="27"/>
          <bgColor indexed="26"/>
        </patternFill>
      </fill>
    </dxf>
    <dxf>
      <fill>
        <patternFill patternType="solid">
          <fgColor indexed="26"/>
          <bgColor indexed="27"/>
        </patternFill>
      </fill>
    </dxf>
    <dxf>
      <fill>
        <patternFill patternType="solid">
          <fgColor indexed="26"/>
          <bgColor indexed="27"/>
        </patternFill>
      </fill>
    </dxf>
    <dxf>
      <fill>
        <patternFill patternType="solid">
          <fgColor indexed="27"/>
          <bgColor indexed="26"/>
        </patternFill>
      </fill>
    </dxf>
    <dxf>
      <fill>
        <patternFill patternType="solid">
          <fgColor indexed="27"/>
          <bgColor indexed="26"/>
        </patternFill>
      </fill>
    </dxf>
    <dxf>
      <fill>
        <patternFill patternType="solid">
          <fgColor indexed="26"/>
          <bgColor indexed="27"/>
        </patternFill>
      </fill>
    </dxf>
    <dxf>
      <fill>
        <patternFill patternType="solid">
          <fgColor indexed="26"/>
          <bgColor indexed="27"/>
        </patternFill>
      </fill>
    </dxf>
    <dxf>
      <fill>
        <patternFill patternType="solid">
          <fgColor indexed="26"/>
          <bgColor indexed="27"/>
        </patternFill>
      </fill>
    </dxf>
    <dxf>
      <fill>
        <patternFill patternType="solid">
          <fgColor indexed="26"/>
          <bgColor indexed="27"/>
        </patternFill>
      </fill>
    </dxf>
    <dxf>
      <fill>
        <patternFill patternType="solid">
          <fgColor indexed="26"/>
          <bgColor indexed="27"/>
        </patternFill>
      </fill>
    </dxf>
    <dxf>
      <fill>
        <patternFill patternType="solid">
          <fgColor indexed="26"/>
          <bgColor indexed="27"/>
        </patternFill>
      </fill>
    </dxf>
    <dxf>
      <fill>
        <patternFill patternType="solid">
          <fgColor indexed="26"/>
          <bgColor indexed="27"/>
        </patternFill>
      </fill>
    </dxf>
    <dxf>
      <fill>
        <patternFill patternType="solid">
          <fgColor indexed="26"/>
          <bgColor indexed="27"/>
        </patternFill>
      </fill>
    </dxf>
    <dxf>
      <font>
        <b val="0"/>
        <condense val="0"/>
        <extend val="0"/>
        <color indexed="16"/>
      </font>
      <fill>
        <patternFill patternType="solid">
          <fgColor indexed="31"/>
          <bgColor indexed="47"/>
        </patternFill>
      </fill>
    </dxf>
    <dxf>
      <fill>
        <patternFill patternType="solid">
          <fgColor indexed="26"/>
          <bgColor indexed="27"/>
        </patternFill>
      </fill>
    </dxf>
    <dxf>
      <fill>
        <patternFill patternType="solid">
          <fgColor indexed="26"/>
          <bgColor indexed="27"/>
        </patternFill>
      </fill>
    </dxf>
    <dxf>
      <fill>
        <patternFill patternType="solid">
          <fgColor indexed="26"/>
          <bgColor indexed="27"/>
        </patternFill>
      </fill>
    </dxf>
    <dxf>
      <fill>
        <patternFill patternType="solid">
          <fgColor indexed="26"/>
          <bgColor indexed="27"/>
        </patternFill>
      </fill>
    </dxf>
    <dxf>
      <fill>
        <patternFill patternType="solid">
          <fgColor indexed="26"/>
          <bgColor indexed="27"/>
        </patternFill>
      </fill>
    </dxf>
    <dxf>
      <fill>
        <patternFill patternType="solid">
          <fgColor indexed="26"/>
          <bgColor indexed="27"/>
        </patternFill>
      </fill>
    </dxf>
    <dxf>
      <fill>
        <patternFill patternType="solid">
          <fgColor indexed="26"/>
          <bgColor indexed="27"/>
        </patternFill>
      </fill>
    </dxf>
    <dxf>
      <fill>
        <patternFill patternType="solid">
          <fgColor indexed="26"/>
          <bgColor indexed="27"/>
        </patternFill>
      </fill>
    </dxf>
    <dxf>
      <fill>
        <patternFill patternType="solid">
          <fgColor indexed="26"/>
          <bgColor indexed="27"/>
        </patternFill>
      </fill>
    </dxf>
    <dxf>
      <fill>
        <patternFill patternType="solid">
          <fgColor indexed="27"/>
          <bgColor indexed="26"/>
        </patternFill>
      </fill>
    </dxf>
    <dxf>
      <fill>
        <patternFill patternType="solid">
          <fgColor indexed="26"/>
          <bgColor indexed="27"/>
        </patternFill>
      </fill>
    </dxf>
    <dxf>
      <fill>
        <patternFill patternType="solid">
          <fgColor indexed="27"/>
          <bgColor indexed="26"/>
        </patternFill>
      </fill>
    </dxf>
    <dxf>
      <font>
        <b val="0"/>
        <condense val="0"/>
        <extend val="0"/>
        <color indexed="16"/>
      </font>
      <fill>
        <patternFill patternType="solid">
          <fgColor indexed="31"/>
          <bgColor indexed="47"/>
        </patternFill>
      </fill>
    </dxf>
    <dxf>
      <fill>
        <patternFill patternType="solid">
          <fgColor indexed="31"/>
          <bgColor indexed="47"/>
        </patternFill>
      </fill>
    </dxf>
    <dxf>
      <fill>
        <patternFill patternType="solid">
          <fgColor indexed="27"/>
          <bgColor indexed="26"/>
        </patternFill>
      </fill>
    </dxf>
    <dxf>
      <fill>
        <patternFill patternType="solid">
          <fgColor indexed="27"/>
          <bgColor indexed="26"/>
        </patternFill>
      </fill>
    </dxf>
    <dxf>
      <fill>
        <patternFill patternType="solid">
          <fgColor indexed="27"/>
          <bgColor indexed="26"/>
        </patternFill>
      </fill>
    </dxf>
    <dxf>
      <fill>
        <patternFill patternType="solid">
          <fgColor indexed="26"/>
          <bgColor indexed="2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F413D"/>
      <rgbColor rgb="00EBF1DE"/>
      <rgbColor rgb="00DBEEF4"/>
      <rgbColor rgb="00660066"/>
      <rgbColor rgb="00E46C0A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FF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ussoft.ru/reports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hyperlink" Target="https://russoft.org/russoft-analytics/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hyperlink" Target="https://russoft.org/russoft-analytic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anketolog.ru/s/211418/lNnl0owV" TargetMode="External"/><Relationship Id="rId1" Type="http://schemas.openxmlformats.org/officeDocument/2006/relationships/hyperlink" Target="https://russoft.org/russoft-analytic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Q493"/>
  <sheetViews>
    <sheetView topLeftCell="A143" zoomScaleSheetLayoutView="100" workbookViewId="0">
      <selection activeCell="F146" sqref="F146"/>
    </sheetView>
  </sheetViews>
  <sheetFormatPr defaultColWidth="8.7109375" defaultRowHeight="15" zeroHeight="1" x14ac:dyDescent="0.25"/>
  <cols>
    <col min="1" max="1" width="25.42578125" style="1" customWidth="1"/>
    <col min="2" max="2" width="17.42578125" style="1" customWidth="1"/>
    <col min="3" max="3" width="21.5703125" customWidth="1"/>
    <col min="4" max="4" width="20.85546875" customWidth="1"/>
    <col min="5" max="5" width="22.85546875" customWidth="1"/>
    <col min="6" max="6" width="9" style="2" customWidth="1"/>
    <col min="7" max="8" width="9" style="3" customWidth="1"/>
    <col min="9" max="10" width="9" style="1" customWidth="1"/>
    <col min="11" max="11" width="9" style="4" customWidth="1"/>
    <col min="12" max="15" width="9" style="1" customWidth="1"/>
    <col min="16" max="16" width="8.7109375" style="1" customWidth="1"/>
    <col min="17" max="17" width="15.85546875" style="1" customWidth="1"/>
    <col min="18" max="16384" width="8.7109375" style="1"/>
  </cols>
  <sheetData>
    <row r="1" spans="1:15" ht="12.75" customHeight="1" x14ac:dyDescent="0.25">
      <c r="A1" s="183" t="s">
        <v>0</v>
      </c>
      <c r="B1" s="183"/>
      <c r="C1" s="183"/>
      <c r="D1" s="183"/>
      <c r="E1" s="183"/>
      <c r="L1" s="1" t="s">
        <v>1</v>
      </c>
      <c r="M1" s="1" t="s">
        <v>2</v>
      </c>
      <c r="N1" s="1" t="s">
        <v>3</v>
      </c>
      <c r="O1" s="1" t="s">
        <v>4</v>
      </c>
    </row>
    <row r="2" spans="1:15" ht="15" customHeight="1" x14ac:dyDescent="0.25">
      <c r="A2" s="169" t="s">
        <v>5</v>
      </c>
      <c r="B2" s="169"/>
      <c r="C2" s="190"/>
      <c r="D2" s="190"/>
      <c r="E2" s="190"/>
      <c r="F2" s="2" t="s">
        <v>6</v>
      </c>
      <c r="K2" s="4" t="str">
        <f>IF(C2=0,"Вы не указали наименование компании - строка 4 вопрос №1",0)</f>
        <v>Вы не указали наименование компании - строка 4 вопрос №1</v>
      </c>
      <c r="L2" s="1">
        <v>1</v>
      </c>
      <c r="M2" s="1">
        <f t="shared" ref="M2:M8" si="0">IF(K2=0,1,0)</f>
        <v>0</v>
      </c>
      <c r="N2" s="1">
        <v>1</v>
      </c>
      <c r="O2" s="1">
        <f t="shared" ref="O2:O8" si="1">IF(-M2+N2&lt;=0,"",ROW(K2)-ROW($K$1))</f>
        <v>1</v>
      </c>
    </row>
    <row r="3" spans="1:15" ht="15" customHeight="1" x14ac:dyDescent="0.25">
      <c r="A3" s="156" t="s">
        <v>7</v>
      </c>
      <c r="B3" s="156"/>
      <c r="C3" s="187"/>
      <c r="D3" s="187"/>
      <c r="E3" s="187"/>
      <c r="F3" s="2" t="s">
        <v>8</v>
      </c>
      <c r="K3" s="4" t="str">
        <f>IF(C3=0,"Вы не указали англ. наименование компании - строка 5 вопрос №2",0)</f>
        <v>Вы не указали англ. наименование компании - строка 5 вопрос №2</v>
      </c>
      <c r="L3" s="1">
        <f t="shared" ref="L3:L8" si="2">L2+1</f>
        <v>2</v>
      </c>
      <c r="M3" s="1">
        <f t="shared" si="0"/>
        <v>0</v>
      </c>
      <c r="N3" s="1">
        <v>1</v>
      </c>
      <c r="O3" s="1">
        <f t="shared" si="1"/>
        <v>2</v>
      </c>
    </row>
    <row r="4" spans="1:15" ht="44.85" customHeight="1" x14ac:dyDescent="0.25">
      <c r="A4" s="156" t="s">
        <v>9</v>
      </c>
      <c r="B4" s="156"/>
      <c r="C4" s="187"/>
      <c r="D4" s="187"/>
      <c r="E4" s="187"/>
      <c r="F4" s="2" t="s">
        <v>10</v>
      </c>
      <c r="K4" s="4" t="str">
        <f>IF(C4=0,"Вы не указали год основания компании - строка 6 вопрос №3",0)</f>
        <v>Вы не указали год основания компании - строка 6 вопрос №3</v>
      </c>
      <c r="L4" s="1">
        <f t="shared" si="2"/>
        <v>3</v>
      </c>
      <c r="M4" s="1">
        <f t="shared" si="0"/>
        <v>0</v>
      </c>
      <c r="N4" s="1">
        <v>1</v>
      </c>
      <c r="O4" s="1">
        <f t="shared" si="1"/>
        <v>3</v>
      </c>
    </row>
    <row r="5" spans="1:15" ht="47.1" customHeight="1" x14ac:dyDescent="0.25">
      <c r="A5" s="189" t="s">
        <v>11</v>
      </c>
      <c r="B5" s="189"/>
      <c r="C5" s="187"/>
      <c r="D5" s="187"/>
      <c r="E5" s="187"/>
      <c r="K5" s="4" t="str">
        <f>IF(C5=0,"Вы не указали головной офис компании - строка 7 вопрос №4",0)</f>
        <v>Вы не указали головной офис компании - строка 7 вопрос №4</v>
      </c>
      <c r="L5" s="1">
        <f t="shared" si="2"/>
        <v>4</v>
      </c>
      <c r="M5" s="1">
        <f t="shared" si="0"/>
        <v>0</v>
      </c>
      <c r="N5" s="1">
        <v>1</v>
      </c>
      <c r="O5" s="1">
        <f t="shared" si="1"/>
        <v>4</v>
      </c>
    </row>
    <row r="6" spans="1:15" ht="15" customHeight="1" x14ac:dyDescent="0.25">
      <c r="A6" s="156" t="s">
        <v>12</v>
      </c>
      <c r="B6" s="156"/>
      <c r="C6" s="187"/>
      <c r="D6" s="187"/>
      <c r="E6" s="187"/>
      <c r="F6" s="2" t="s">
        <v>6</v>
      </c>
      <c r="K6" s="4" t="str">
        <f>IF(C6=0,"Вы не указали адрес веб-сайта компании - строка 8 вопрос №5",0)</f>
        <v>Вы не указали адрес веб-сайта компании - строка 8 вопрос №5</v>
      </c>
      <c r="L6" s="1">
        <f t="shared" si="2"/>
        <v>5</v>
      </c>
      <c r="M6" s="1">
        <f t="shared" si="0"/>
        <v>0</v>
      </c>
      <c r="N6" s="1">
        <v>1</v>
      </c>
      <c r="O6" s="1">
        <f t="shared" si="1"/>
        <v>5</v>
      </c>
    </row>
    <row r="7" spans="1:15" ht="15" customHeight="1" x14ac:dyDescent="0.25">
      <c r="A7" s="156" t="s">
        <v>13</v>
      </c>
      <c r="B7" s="156"/>
      <c r="C7" s="187"/>
      <c r="D7" s="187"/>
      <c r="E7" s="187"/>
      <c r="F7" s="2" t="s">
        <v>14</v>
      </c>
      <c r="K7" s="4" t="str">
        <f>IF(C7=0,"Вы не указали адрес электронной почты - строка 9 вопрос №6",0)</f>
        <v>Вы не указали адрес электронной почты - строка 9 вопрос №6</v>
      </c>
      <c r="L7" s="1">
        <f t="shared" si="2"/>
        <v>6</v>
      </c>
      <c r="M7" s="1">
        <f t="shared" si="0"/>
        <v>0</v>
      </c>
      <c r="N7" s="1">
        <v>1</v>
      </c>
      <c r="O7" s="1">
        <f t="shared" si="1"/>
        <v>6</v>
      </c>
    </row>
    <row r="8" spans="1:15" ht="15" customHeight="1" x14ac:dyDescent="0.25">
      <c r="A8" s="156" t="s">
        <v>15</v>
      </c>
      <c r="B8" s="156"/>
      <c r="C8" s="187"/>
      <c r="D8" s="187"/>
      <c r="E8" s="187"/>
      <c r="F8" s="2" t="s">
        <v>16</v>
      </c>
      <c r="K8" s="4" t="str">
        <f>IF(C8=0,"Вы не указали контактный телефон - строка 10 вопрос №7",0)</f>
        <v>Вы не указали контактный телефон - строка 10 вопрос №7</v>
      </c>
      <c r="L8" s="1">
        <f t="shared" si="2"/>
        <v>7</v>
      </c>
      <c r="M8" s="1">
        <f t="shared" si="0"/>
        <v>0</v>
      </c>
      <c r="N8" s="1">
        <v>1</v>
      </c>
      <c r="O8" s="1">
        <f t="shared" si="1"/>
        <v>7</v>
      </c>
    </row>
    <row r="9" spans="1:15" ht="15" customHeight="1" x14ac:dyDescent="0.25">
      <c r="A9" s="156" t="s">
        <v>17</v>
      </c>
      <c r="B9" s="156"/>
      <c r="C9" s="187"/>
      <c r="D9" s="187"/>
      <c r="E9" s="187"/>
    </row>
    <row r="10" spans="1:15" ht="15" customHeight="1" x14ac:dyDescent="0.25">
      <c r="A10" s="186" t="s">
        <v>18</v>
      </c>
      <c r="B10" s="186"/>
      <c r="C10" s="187"/>
      <c r="D10" s="187"/>
      <c r="E10" s="187"/>
      <c r="K10" s="4" t="str">
        <f>IF(C10=0,"Вы не указали ФИО контактного лица - строка 11 вопрос №8",0)</f>
        <v>Вы не указали ФИО контактного лица - строка 11 вопрос №8</v>
      </c>
      <c r="L10" s="1">
        <f>L8+1</f>
        <v>8</v>
      </c>
      <c r="M10" s="1">
        <f>IF(K10=0,1,0)</f>
        <v>0</v>
      </c>
      <c r="N10" s="1">
        <v>1</v>
      </c>
      <c r="O10" s="1">
        <f t="shared" ref="O10:O199" si="3">IF(-M10+N10&lt;=0,"",ROW(K10)-ROW($K$1))</f>
        <v>9</v>
      </c>
    </row>
    <row r="11" spans="1:15" ht="15" customHeight="1" x14ac:dyDescent="0.25">
      <c r="A11" s="186" t="s">
        <v>19</v>
      </c>
      <c r="B11" s="186"/>
      <c r="C11" s="187"/>
      <c r="D11" s="187"/>
      <c r="E11" s="187"/>
      <c r="K11" s="4" t="str">
        <f>IF(C11=0,"Вы не указали ФИО контактного лица - строка 11 вопрос №8",0)</f>
        <v>Вы не указали ФИО контактного лица - строка 11 вопрос №8</v>
      </c>
      <c r="L11" s="1">
        <f>L10+1</f>
        <v>9</v>
      </c>
      <c r="M11" s="1">
        <f>IF(K11=0,1,0)</f>
        <v>0</v>
      </c>
      <c r="N11" s="1">
        <v>1</v>
      </c>
      <c r="O11" s="1">
        <f t="shared" si="3"/>
        <v>10</v>
      </c>
    </row>
    <row r="12" spans="1:15" ht="15" customHeight="1" x14ac:dyDescent="0.25">
      <c r="A12" s="169" t="s">
        <v>20</v>
      </c>
      <c r="B12" s="188" t="s">
        <v>21</v>
      </c>
      <c r="C12" s="188"/>
      <c r="D12" s="188"/>
      <c r="E12" s="5" t="s">
        <v>6</v>
      </c>
      <c r="F12" s="6" t="s">
        <v>22</v>
      </c>
      <c r="G12" s="3">
        <f>SUM(H12:H22)</f>
        <v>0</v>
      </c>
      <c r="H12" s="3">
        <f>IF(E12="-- выберите --",0,1)</f>
        <v>0</v>
      </c>
      <c r="K12" s="4" t="str">
        <f>IF(G12=0,"Вы не указали специализацию компании - строка 12-22 вопрос №9",0)</f>
        <v>Вы не указали специализацию компании - строка 12-22 вопрос №9</v>
      </c>
      <c r="L12" s="1">
        <f>L10+1</f>
        <v>9</v>
      </c>
      <c r="M12" s="1">
        <f>IF(K12=0,1,0)</f>
        <v>0</v>
      </c>
      <c r="N12" s="1">
        <v>1</v>
      </c>
      <c r="O12" s="1">
        <f t="shared" si="3"/>
        <v>11</v>
      </c>
    </row>
    <row r="13" spans="1:15" ht="15" customHeight="1" x14ac:dyDescent="0.25">
      <c r="A13" s="169"/>
      <c r="B13" s="155" t="s">
        <v>23</v>
      </c>
      <c r="C13" s="155"/>
      <c r="D13" s="155"/>
      <c r="E13" s="5" t="s">
        <v>6</v>
      </c>
      <c r="F13" s="7" t="s">
        <v>24</v>
      </c>
      <c r="G13" s="3">
        <f>IF(E13="-- выберите --",0,1)</f>
        <v>0</v>
      </c>
      <c r="J13" s="4"/>
      <c r="L13" s="1">
        <f t="shared" ref="L13:L60" si="4">L12+1</f>
        <v>10</v>
      </c>
      <c r="M13" s="1">
        <v>1</v>
      </c>
      <c r="N13" s="1">
        <v>1</v>
      </c>
      <c r="O13" s="1" t="str">
        <f t="shared" si="3"/>
        <v/>
      </c>
    </row>
    <row r="14" spans="1:15" ht="15" customHeight="1" x14ac:dyDescent="0.25">
      <c r="A14" s="169"/>
      <c r="B14" s="155" t="s">
        <v>25</v>
      </c>
      <c r="C14" s="155"/>
      <c r="D14" s="155"/>
      <c r="E14" s="5" t="s">
        <v>6</v>
      </c>
      <c r="F14" s="7" t="s">
        <v>26</v>
      </c>
      <c r="G14" s="3">
        <f>IF(E14="-- выберите --",0,1)</f>
        <v>0</v>
      </c>
      <c r="J14" s="4"/>
      <c r="L14" s="1">
        <f t="shared" si="4"/>
        <v>11</v>
      </c>
      <c r="M14" s="1">
        <v>1</v>
      </c>
      <c r="N14" s="1">
        <v>1</v>
      </c>
      <c r="O14" s="1" t="str">
        <f t="shared" si="3"/>
        <v/>
      </c>
    </row>
    <row r="15" spans="1:15" ht="15" customHeight="1" x14ac:dyDescent="0.25">
      <c r="A15" s="169"/>
      <c r="B15" s="155" t="s">
        <v>27</v>
      </c>
      <c r="C15" s="155"/>
      <c r="D15" s="155"/>
      <c r="E15" s="5" t="s">
        <v>6</v>
      </c>
      <c r="F15" s="7" t="s">
        <v>28</v>
      </c>
      <c r="H15" s="3">
        <f t="shared" ref="H15:H22" si="5">IF(E15="-- выберите --",0,1)</f>
        <v>0</v>
      </c>
      <c r="L15" s="1">
        <f t="shared" si="4"/>
        <v>12</v>
      </c>
      <c r="M15" s="1">
        <f t="shared" ref="M15:M199" si="6">IF(K15=0,1,0)</f>
        <v>1</v>
      </c>
      <c r="N15" s="1">
        <v>1</v>
      </c>
      <c r="O15" s="1" t="str">
        <f t="shared" si="3"/>
        <v/>
      </c>
    </row>
    <row r="16" spans="1:15" ht="15" customHeight="1" x14ac:dyDescent="0.25">
      <c r="A16" s="169"/>
      <c r="B16" s="155" t="s">
        <v>29</v>
      </c>
      <c r="C16" s="155"/>
      <c r="D16" s="155"/>
      <c r="E16" s="5" t="s">
        <v>6</v>
      </c>
      <c r="H16" s="3">
        <f t="shared" si="5"/>
        <v>0</v>
      </c>
      <c r="L16" s="1">
        <f t="shared" si="4"/>
        <v>13</v>
      </c>
      <c r="M16" s="1">
        <f t="shared" si="6"/>
        <v>1</v>
      </c>
      <c r="N16" s="1">
        <v>1</v>
      </c>
      <c r="O16" s="1" t="str">
        <f t="shared" si="3"/>
        <v/>
      </c>
    </row>
    <row r="17" spans="1:17" ht="15" customHeight="1" x14ac:dyDescent="0.25">
      <c r="A17" s="169"/>
      <c r="B17" s="155" t="s">
        <v>30</v>
      </c>
      <c r="C17" s="155"/>
      <c r="D17" s="155"/>
      <c r="E17" s="5" t="s">
        <v>6</v>
      </c>
      <c r="F17" s="6" t="s">
        <v>6</v>
      </c>
      <c r="H17" s="3">
        <f t="shared" si="5"/>
        <v>0</v>
      </c>
      <c r="L17" s="1">
        <f t="shared" si="4"/>
        <v>14</v>
      </c>
      <c r="M17" s="1">
        <f t="shared" si="6"/>
        <v>1</v>
      </c>
      <c r="N17" s="1">
        <v>1</v>
      </c>
      <c r="O17" s="1" t="str">
        <f t="shared" si="3"/>
        <v/>
      </c>
    </row>
    <row r="18" spans="1:17" ht="63.75" customHeight="1" x14ac:dyDescent="0.25">
      <c r="A18" s="169"/>
      <c r="B18" s="155" t="s">
        <v>31</v>
      </c>
      <c r="C18" s="155"/>
      <c r="D18" s="155"/>
      <c r="E18" s="5" t="s">
        <v>6</v>
      </c>
      <c r="F18" s="7" t="s">
        <v>32</v>
      </c>
      <c r="H18" s="3">
        <f t="shared" si="5"/>
        <v>0</v>
      </c>
      <c r="L18" s="1">
        <f t="shared" si="4"/>
        <v>15</v>
      </c>
      <c r="M18" s="1">
        <f t="shared" si="6"/>
        <v>1</v>
      </c>
      <c r="N18" s="1">
        <v>1</v>
      </c>
      <c r="O18" s="1" t="str">
        <f t="shared" si="3"/>
        <v/>
      </c>
    </row>
    <row r="19" spans="1:17" ht="12.75" customHeight="1" x14ac:dyDescent="0.25">
      <c r="A19" s="169"/>
      <c r="B19" s="155" t="s">
        <v>33</v>
      </c>
      <c r="C19" s="155"/>
      <c r="D19" s="155"/>
      <c r="E19" s="5" t="s">
        <v>6</v>
      </c>
      <c r="F19" s="7" t="s">
        <v>34</v>
      </c>
      <c r="H19" s="3">
        <f t="shared" si="5"/>
        <v>0</v>
      </c>
      <c r="L19" s="1">
        <f t="shared" si="4"/>
        <v>16</v>
      </c>
      <c r="M19" s="1">
        <f t="shared" si="6"/>
        <v>1</v>
      </c>
      <c r="N19" s="1">
        <v>1</v>
      </c>
      <c r="O19" s="1" t="str">
        <f t="shared" si="3"/>
        <v/>
      </c>
    </row>
    <row r="20" spans="1:17" ht="32.25" customHeight="1" x14ac:dyDescent="0.25">
      <c r="A20" s="169"/>
      <c r="B20" s="155" t="s">
        <v>35</v>
      </c>
      <c r="C20" s="155"/>
      <c r="D20" s="155"/>
      <c r="E20" s="5" t="s">
        <v>6</v>
      </c>
      <c r="F20" s="7" t="s">
        <v>36</v>
      </c>
      <c r="H20" s="3">
        <f t="shared" si="5"/>
        <v>0</v>
      </c>
      <c r="L20" s="1">
        <f t="shared" si="4"/>
        <v>17</v>
      </c>
      <c r="M20" s="1">
        <f t="shared" si="6"/>
        <v>1</v>
      </c>
      <c r="N20" s="1">
        <v>1</v>
      </c>
      <c r="O20" s="1" t="str">
        <f t="shared" si="3"/>
        <v/>
      </c>
    </row>
    <row r="21" spans="1:17" ht="15" customHeight="1" x14ac:dyDescent="0.25">
      <c r="A21" s="169"/>
      <c r="B21" s="155" t="s">
        <v>37</v>
      </c>
      <c r="C21" s="155"/>
      <c r="D21" s="155"/>
      <c r="E21" s="5" t="s">
        <v>6</v>
      </c>
      <c r="F21" s="6" t="s">
        <v>22</v>
      </c>
      <c r="H21" s="3">
        <f t="shared" si="5"/>
        <v>0</v>
      </c>
      <c r="L21" s="1">
        <f t="shared" si="4"/>
        <v>18</v>
      </c>
      <c r="M21" s="1">
        <f t="shared" si="6"/>
        <v>1</v>
      </c>
      <c r="N21" s="1">
        <v>1</v>
      </c>
      <c r="O21" s="1" t="str">
        <f t="shared" si="3"/>
        <v/>
      </c>
    </row>
    <row r="22" spans="1:17" ht="15" customHeight="1" x14ac:dyDescent="0.25">
      <c r="A22" s="169"/>
      <c r="B22" s="8" t="s">
        <v>38</v>
      </c>
      <c r="C22" s="185"/>
      <c r="D22" s="185"/>
      <c r="E22" s="5" t="s">
        <v>6</v>
      </c>
      <c r="F22" s="6"/>
      <c r="H22" s="3">
        <f t="shared" si="5"/>
        <v>0</v>
      </c>
      <c r="K22" s="4">
        <f>IF(C22=0,IF(H22=0,0,"Вы ответили -ДА- в графе -ДРУГОЕ-, укажите особую специализацию в строке 22"),0)</f>
        <v>0</v>
      </c>
      <c r="L22" s="1">
        <f t="shared" si="4"/>
        <v>19</v>
      </c>
      <c r="M22" s="1">
        <f t="shared" si="6"/>
        <v>1</v>
      </c>
      <c r="N22" s="1">
        <v>1</v>
      </c>
      <c r="O22" s="1" t="str">
        <f t="shared" si="3"/>
        <v/>
      </c>
    </row>
    <row r="23" spans="1:17" ht="45.75" customHeight="1" x14ac:dyDescent="0.25">
      <c r="A23" s="169"/>
      <c r="B23" s="9" t="s">
        <v>39</v>
      </c>
      <c r="C23" s="179" t="s">
        <v>40</v>
      </c>
      <c r="D23" s="179"/>
      <c r="E23" s="179"/>
      <c r="F23" s="6" t="s">
        <v>41</v>
      </c>
      <c r="K23" s="4" t="str">
        <f>IF(C23="-- выберите из предыдущих вариантов --","Вы не выбрали основную специализацию в строке 23",0)</f>
        <v>Вы не выбрали основную специализацию в строке 23</v>
      </c>
      <c r="L23" s="1">
        <f t="shared" si="4"/>
        <v>20</v>
      </c>
      <c r="M23" s="1">
        <f t="shared" si="6"/>
        <v>0</v>
      </c>
      <c r="N23" s="1">
        <v>1</v>
      </c>
      <c r="O23" s="1">
        <f t="shared" si="3"/>
        <v>22</v>
      </c>
      <c r="P23" s="168"/>
      <c r="Q23" s="168"/>
    </row>
    <row r="24" spans="1:17" x14ac:dyDescent="0.25">
      <c r="A24" s="183" t="s">
        <v>42</v>
      </c>
      <c r="B24" s="183"/>
      <c r="C24" s="183"/>
      <c r="D24" s="183"/>
      <c r="E24" s="183"/>
      <c r="F24" s="6" t="s">
        <v>6</v>
      </c>
      <c r="L24" s="1">
        <f t="shared" si="4"/>
        <v>21</v>
      </c>
      <c r="M24" s="1">
        <f t="shared" si="6"/>
        <v>1</v>
      </c>
      <c r="N24" s="1">
        <v>1</v>
      </c>
      <c r="O24" s="1" t="str">
        <f t="shared" si="3"/>
        <v/>
      </c>
    </row>
    <row r="25" spans="1:17" ht="44.25" customHeight="1" x14ac:dyDescent="0.25">
      <c r="A25" s="184" t="s">
        <v>43</v>
      </c>
      <c r="B25" s="184"/>
      <c r="C25" s="184"/>
      <c r="D25" s="184"/>
      <c r="E25" s="184"/>
      <c r="F25" s="6" t="s">
        <v>44</v>
      </c>
      <c r="L25" s="1">
        <f t="shared" si="4"/>
        <v>22</v>
      </c>
      <c r="M25" s="1">
        <f t="shared" si="6"/>
        <v>1</v>
      </c>
      <c r="N25" s="1">
        <v>1</v>
      </c>
      <c r="O25" s="1" t="str">
        <f t="shared" si="3"/>
        <v/>
      </c>
    </row>
    <row r="26" spans="1:17" ht="15" customHeight="1" x14ac:dyDescent="0.25">
      <c r="A26" s="182" t="s">
        <v>45</v>
      </c>
      <c r="B26" s="182"/>
      <c r="C26" s="10">
        <v>2017</v>
      </c>
      <c r="D26" s="11" t="s">
        <v>46</v>
      </c>
      <c r="E26" s="11">
        <v>2019</v>
      </c>
      <c r="F26" s="6" t="s">
        <v>47</v>
      </c>
      <c r="L26" s="1">
        <f t="shared" si="4"/>
        <v>23</v>
      </c>
      <c r="M26" s="1">
        <f t="shared" si="6"/>
        <v>1</v>
      </c>
      <c r="N26" s="1">
        <v>1</v>
      </c>
      <c r="O26" s="1" t="str">
        <f t="shared" si="3"/>
        <v/>
      </c>
    </row>
    <row r="27" spans="1:17" ht="45" x14ac:dyDescent="0.25">
      <c r="A27" s="182"/>
      <c r="B27" s="182"/>
      <c r="C27" s="10" t="s">
        <v>48</v>
      </c>
      <c r="D27" s="11" t="s">
        <v>49</v>
      </c>
      <c r="E27" s="11" t="s">
        <v>50</v>
      </c>
      <c r="F27" s="6" t="s">
        <v>22</v>
      </c>
      <c r="L27" s="1">
        <f t="shared" si="4"/>
        <v>24</v>
      </c>
      <c r="M27" s="1">
        <f t="shared" si="6"/>
        <v>1</v>
      </c>
      <c r="N27" s="1">
        <v>1</v>
      </c>
      <c r="O27" s="1" t="str">
        <f t="shared" si="3"/>
        <v/>
      </c>
    </row>
    <row r="28" spans="1:17" ht="15" customHeight="1" x14ac:dyDescent="0.25">
      <c r="A28" s="155" t="s">
        <v>51</v>
      </c>
      <c r="B28" s="155"/>
      <c r="C28" s="12"/>
      <c r="D28" s="13"/>
      <c r="E28" s="13"/>
      <c r="F28" s="6" t="s">
        <v>52</v>
      </c>
      <c r="G28" s="3">
        <v>2015</v>
      </c>
      <c r="H28" s="3">
        <f t="shared" ref="H28:H42" si="7">IF(C28=0,0,1)</f>
        <v>0</v>
      </c>
      <c r="I28" s="1">
        <f t="shared" ref="I28:I42" si="8">IF(D28=0,0,1)</f>
        <v>0</v>
      </c>
      <c r="J28" s="1">
        <f t="shared" ref="J28:J42" si="9">IF(E28=0,0,1)</f>
        <v>0</v>
      </c>
      <c r="K28" s="4" t="str">
        <f>IF(G40=0,"Вы не предоставили данные об удаленных центрах компании - строка 28-42 вопрос №10",IF(G40=3,0,"Проверьте данные об удаленных центрах компании по всем трем периодам - строка 28-42 вопрос №10 (или подтвердите, что их нет - строка 42)"))</f>
        <v>Вы не предоставили данные об удаленных центрах компании - строка 28-42 вопрос №10</v>
      </c>
      <c r="L28" s="1">
        <f t="shared" si="4"/>
        <v>25</v>
      </c>
      <c r="M28" s="1">
        <f t="shared" si="6"/>
        <v>0</v>
      </c>
      <c r="N28" s="1">
        <v>1</v>
      </c>
      <c r="O28" s="1">
        <f t="shared" si="3"/>
        <v>27</v>
      </c>
    </row>
    <row r="29" spans="1:17" ht="15" customHeight="1" x14ac:dyDescent="0.25">
      <c r="A29" s="155" t="s">
        <v>53</v>
      </c>
      <c r="B29" s="155"/>
      <c r="C29" s="12"/>
      <c r="D29" s="13"/>
      <c r="E29" s="13"/>
      <c r="G29" s="3">
        <f>SUM(H28:H42)</f>
        <v>0</v>
      </c>
      <c r="H29" s="3">
        <f t="shared" si="7"/>
        <v>0</v>
      </c>
      <c r="I29" s="1">
        <f t="shared" si="8"/>
        <v>0</v>
      </c>
      <c r="J29" s="1">
        <f t="shared" si="9"/>
        <v>0</v>
      </c>
      <c r="L29" s="1">
        <f t="shared" si="4"/>
        <v>26</v>
      </c>
      <c r="M29" s="1">
        <f t="shared" si="6"/>
        <v>1</v>
      </c>
      <c r="N29" s="1">
        <v>1</v>
      </c>
      <c r="O29" s="1" t="str">
        <f t="shared" si="3"/>
        <v/>
      </c>
    </row>
    <row r="30" spans="1:17" ht="15" customHeight="1" x14ac:dyDescent="0.25">
      <c r="A30" s="155" t="s">
        <v>54</v>
      </c>
      <c r="B30" s="155"/>
      <c r="C30" s="12"/>
      <c r="D30" s="13"/>
      <c r="E30" s="13"/>
      <c r="F30" s="7" t="s">
        <v>55</v>
      </c>
      <c r="H30" s="3">
        <f t="shared" si="7"/>
        <v>0</v>
      </c>
      <c r="I30" s="1">
        <f t="shared" si="8"/>
        <v>0</v>
      </c>
      <c r="J30" s="1">
        <f t="shared" si="9"/>
        <v>0</v>
      </c>
      <c r="L30" s="1">
        <f t="shared" si="4"/>
        <v>27</v>
      </c>
      <c r="M30" s="1">
        <f t="shared" si="6"/>
        <v>1</v>
      </c>
      <c r="N30" s="1">
        <v>1</v>
      </c>
      <c r="O30" s="1" t="str">
        <f t="shared" si="3"/>
        <v/>
      </c>
    </row>
    <row r="31" spans="1:17" ht="15" customHeight="1" x14ac:dyDescent="0.25">
      <c r="A31" s="155" t="s">
        <v>56</v>
      </c>
      <c r="B31" s="155"/>
      <c r="C31" s="12"/>
      <c r="D31" s="13"/>
      <c r="E31" s="13"/>
      <c r="F31" s="7" t="s">
        <v>57</v>
      </c>
      <c r="G31" s="3">
        <v>2016</v>
      </c>
      <c r="H31" s="3">
        <f t="shared" si="7"/>
        <v>0</v>
      </c>
      <c r="I31" s="1">
        <f t="shared" si="8"/>
        <v>0</v>
      </c>
      <c r="J31" s="1">
        <f t="shared" si="9"/>
        <v>0</v>
      </c>
      <c r="L31" s="1">
        <f t="shared" si="4"/>
        <v>28</v>
      </c>
      <c r="M31" s="1">
        <f t="shared" si="6"/>
        <v>1</v>
      </c>
      <c r="N31" s="1">
        <v>1</v>
      </c>
      <c r="O31" s="1" t="str">
        <f t="shared" si="3"/>
        <v/>
      </c>
    </row>
    <row r="32" spans="1:17" ht="15" customHeight="1" x14ac:dyDescent="0.25">
      <c r="A32" s="155" t="s">
        <v>58</v>
      </c>
      <c r="B32" s="155"/>
      <c r="C32" s="12"/>
      <c r="D32" s="13"/>
      <c r="E32" s="13"/>
      <c r="F32" s="7" t="s">
        <v>59</v>
      </c>
      <c r="G32" s="3">
        <f>SUM(I28:I42)</f>
        <v>0</v>
      </c>
      <c r="H32" s="3">
        <f t="shared" si="7"/>
        <v>0</v>
      </c>
      <c r="I32" s="1">
        <f t="shared" si="8"/>
        <v>0</v>
      </c>
      <c r="J32" s="1">
        <f t="shared" si="9"/>
        <v>0</v>
      </c>
      <c r="L32" s="1">
        <f t="shared" si="4"/>
        <v>29</v>
      </c>
      <c r="M32" s="1">
        <f t="shared" si="6"/>
        <v>1</v>
      </c>
      <c r="N32" s="1">
        <v>1</v>
      </c>
      <c r="O32" s="1" t="str">
        <f t="shared" si="3"/>
        <v/>
      </c>
    </row>
    <row r="33" spans="1:15" ht="15" customHeight="1" x14ac:dyDescent="0.25">
      <c r="A33" s="155" t="s">
        <v>60</v>
      </c>
      <c r="B33" s="155"/>
      <c r="C33" s="12"/>
      <c r="D33" s="13"/>
      <c r="E33" s="13"/>
      <c r="F33" s="7"/>
      <c r="H33" s="3">
        <f t="shared" si="7"/>
        <v>0</v>
      </c>
      <c r="I33" s="1">
        <f t="shared" si="8"/>
        <v>0</v>
      </c>
      <c r="J33" s="1">
        <f t="shared" si="9"/>
        <v>0</v>
      </c>
      <c r="L33" s="1">
        <f t="shared" si="4"/>
        <v>30</v>
      </c>
      <c r="M33" s="1">
        <f t="shared" si="6"/>
        <v>1</v>
      </c>
      <c r="N33" s="1">
        <v>1</v>
      </c>
      <c r="O33" s="1" t="str">
        <f t="shared" si="3"/>
        <v/>
      </c>
    </row>
    <row r="34" spans="1:15" ht="15" customHeight="1" x14ac:dyDescent="0.25">
      <c r="A34" s="155" t="s">
        <v>61</v>
      </c>
      <c r="B34" s="155"/>
      <c r="C34" s="12"/>
      <c r="D34" s="13"/>
      <c r="E34" s="13"/>
      <c r="F34" s="7"/>
      <c r="H34" s="3">
        <f t="shared" si="7"/>
        <v>0</v>
      </c>
      <c r="I34" s="1">
        <f t="shared" si="8"/>
        <v>0</v>
      </c>
      <c r="J34" s="1">
        <f t="shared" si="9"/>
        <v>0</v>
      </c>
      <c r="L34" s="1">
        <f t="shared" si="4"/>
        <v>31</v>
      </c>
      <c r="M34" s="1">
        <f t="shared" si="6"/>
        <v>1</v>
      </c>
      <c r="N34" s="1">
        <v>1</v>
      </c>
      <c r="O34" s="1" t="str">
        <f t="shared" si="3"/>
        <v/>
      </c>
    </row>
    <row r="35" spans="1:15" ht="15" customHeight="1" x14ac:dyDescent="0.25">
      <c r="A35" s="155" t="s">
        <v>62</v>
      </c>
      <c r="B35" s="155"/>
      <c r="C35" s="12"/>
      <c r="D35" s="13"/>
      <c r="E35" s="13"/>
      <c r="H35" s="3">
        <f t="shared" si="7"/>
        <v>0</v>
      </c>
      <c r="I35" s="1">
        <f t="shared" si="8"/>
        <v>0</v>
      </c>
      <c r="J35" s="1">
        <f t="shared" si="9"/>
        <v>0</v>
      </c>
      <c r="L35" s="1">
        <f t="shared" si="4"/>
        <v>32</v>
      </c>
      <c r="M35" s="1">
        <f t="shared" si="6"/>
        <v>1</v>
      </c>
      <c r="N35" s="1">
        <v>1</v>
      </c>
      <c r="O35" s="1" t="str">
        <f t="shared" si="3"/>
        <v/>
      </c>
    </row>
    <row r="36" spans="1:15" ht="15" customHeight="1" x14ac:dyDescent="0.25">
      <c r="A36" s="155" t="s">
        <v>63</v>
      </c>
      <c r="B36" s="155"/>
      <c r="C36" s="12"/>
      <c r="D36" s="13"/>
      <c r="E36" s="13"/>
      <c r="G36" s="3">
        <v>2017</v>
      </c>
      <c r="H36" s="3">
        <f t="shared" si="7"/>
        <v>0</v>
      </c>
      <c r="I36" s="1">
        <f t="shared" si="8"/>
        <v>0</v>
      </c>
      <c r="J36" s="1">
        <f t="shared" si="9"/>
        <v>0</v>
      </c>
      <c r="L36" s="1">
        <f t="shared" si="4"/>
        <v>33</v>
      </c>
      <c r="M36" s="1">
        <f t="shared" si="6"/>
        <v>1</v>
      </c>
      <c r="N36" s="1">
        <v>1</v>
      </c>
      <c r="O36" s="1" t="str">
        <f t="shared" si="3"/>
        <v/>
      </c>
    </row>
    <row r="37" spans="1:15" ht="15" customHeight="1" x14ac:dyDescent="0.25">
      <c r="A37" s="155" t="s">
        <v>64</v>
      </c>
      <c r="B37" s="155"/>
      <c r="C37" s="12"/>
      <c r="D37" s="13"/>
      <c r="E37" s="13"/>
      <c r="G37" s="3">
        <f>SUM(J28:J42)</f>
        <v>0</v>
      </c>
      <c r="H37" s="3">
        <f t="shared" si="7"/>
        <v>0</v>
      </c>
      <c r="I37" s="1">
        <f t="shared" si="8"/>
        <v>0</v>
      </c>
      <c r="J37" s="1">
        <f t="shared" si="9"/>
        <v>0</v>
      </c>
      <c r="L37" s="1">
        <f t="shared" si="4"/>
        <v>34</v>
      </c>
      <c r="M37" s="1">
        <f t="shared" si="6"/>
        <v>1</v>
      </c>
      <c r="N37" s="1">
        <v>1</v>
      </c>
      <c r="O37" s="1" t="str">
        <f t="shared" si="3"/>
        <v/>
      </c>
    </row>
    <row r="38" spans="1:15" ht="15" customHeight="1" x14ac:dyDescent="0.25">
      <c r="A38" s="155" t="s">
        <v>65</v>
      </c>
      <c r="B38" s="155"/>
      <c r="C38" s="12"/>
      <c r="D38" s="13"/>
      <c r="E38" s="13"/>
      <c r="F38" s="7" t="s">
        <v>66</v>
      </c>
      <c r="H38" s="3">
        <f t="shared" si="7"/>
        <v>0</v>
      </c>
      <c r="I38" s="1">
        <f t="shared" si="8"/>
        <v>0</v>
      </c>
      <c r="J38" s="1">
        <f t="shared" si="9"/>
        <v>0</v>
      </c>
      <c r="L38" s="1">
        <f t="shared" si="4"/>
        <v>35</v>
      </c>
      <c r="M38" s="1">
        <f t="shared" si="6"/>
        <v>1</v>
      </c>
      <c r="N38" s="1">
        <v>1</v>
      </c>
      <c r="O38" s="1" t="str">
        <f t="shared" si="3"/>
        <v/>
      </c>
    </row>
    <row r="39" spans="1:15" ht="15" customHeight="1" x14ac:dyDescent="0.25">
      <c r="A39" s="155" t="s">
        <v>67</v>
      </c>
      <c r="B39" s="155"/>
      <c r="C39" s="12"/>
      <c r="D39" s="13"/>
      <c r="E39" s="13"/>
      <c r="F39" s="6" t="s">
        <v>6</v>
      </c>
      <c r="G39" s="3" t="s">
        <v>68</v>
      </c>
      <c r="H39" s="3">
        <f t="shared" si="7"/>
        <v>0</v>
      </c>
      <c r="I39" s="1">
        <f t="shared" si="8"/>
        <v>0</v>
      </c>
      <c r="J39" s="1">
        <f t="shared" si="9"/>
        <v>0</v>
      </c>
      <c r="L39" s="1">
        <f t="shared" si="4"/>
        <v>36</v>
      </c>
      <c r="M39" s="1">
        <f t="shared" si="6"/>
        <v>1</v>
      </c>
      <c r="N39" s="1">
        <v>1</v>
      </c>
      <c r="O39" s="1" t="str">
        <f t="shared" si="3"/>
        <v/>
      </c>
    </row>
    <row r="40" spans="1:15" ht="15" customHeight="1" x14ac:dyDescent="0.25">
      <c r="A40" s="155" t="s">
        <v>69</v>
      </c>
      <c r="B40" s="155"/>
      <c r="C40" s="12"/>
      <c r="D40" s="13"/>
      <c r="E40" s="13"/>
      <c r="F40" s="7" t="s">
        <v>70</v>
      </c>
      <c r="G40" s="3">
        <f>G37+G32+G29</f>
        <v>0</v>
      </c>
      <c r="H40" s="3">
        <f t="shared" si="7"/>
        <v>0</v>
      </c>
      <c r="I40" s="1">
        <f t="shared" si="8"/>
        <v>0</v>
      </c>
      <c r="J40" s="1">
        <f t="shared" si="9"/>
        <v>0</v>
      </c>
      <c r="L40" s="1">
        <f t="shared" si="4"/>
        <v>37</v>
      </c>
      <c r="M40" s="1">
        <f t="shared" si="6"/>
        <v>1</v>
      </c>
      <c r="N40" s="1">
        <v>1</v>
      </c>
      <c r="O40" s="1" t="str">
        <f t="shared" si="3"/>
        <v/>
      </c>
    </row>
    <row r="41" spans="1:15" ht="15" customHeight="1" x14ac:dyDescent="0.25">
      <c r="A41" s="155" t="s">
        <v>71</v>
      </c>
      <c r="B41" s="155"/>
      <c r="C41" s="12"/>
      <c r="D41" s="13"/>
      <c r="E41" s="13"/>
      <c r="F41" s="7" t="s">
        <v>72</v>
      </c>
      <c r="H41" s="3">
        <f t="shared" si="7"/>
        <v>0</v>
      </c>
      <c r="I41" s="1">
        <f t="shared" si="8"/>
        <v>0</v>
      </c>
      <c r="J41" s="1">
        <f t="shared" si="9"/>
        <v>0</v>
      </c>
      <c r="L41" s="1">
        <f t="shared" si="4"/>
        <v>38</v>
      </c>
      <c r="M41" s="1">
        <f t="shared" si="6"/>
        <v>1</v>
      </c>
      <c r="N41" s="1">
        <v>1</v>
      </c>
      <c r="O41" s="1" t="str">
        <f t="shared" si="3"/>
        <v/>
      </c>
    </row>
    <row r="42" spans="1:15" ht="12.75" customHeight="1" x14ac:dyDescent="0.25">
      <c r="A42" s="180" t="s">
        <v>73</v>
      </c>
      <c r="B42" s="180"/>
      <c r="C42" s="12"/>
      <c r="D42" s="13"/>
      <c r="E42" s="13"/>
      <c r="F42" s="7" t="s">
        <v>74</v>
      </c>
      <c r="H42" s="3">
        <f t="shared" si="7"/>
        <v>0</v>
      </c>
      <c r="I42" s="1">
        <f t="shared" si="8"/>
        <v>0</v>
      </c>
      <c r="J42" s="1">
        <f t="shared" si="9"/>
        <v>0</v>
      </c>
      <c r="L42" s="1">
        <f t="shared" si="4"/>
        <v>39</v>
      </c>
      <c r="M42" s="1">
        <f t="shared" si="6"/>
        <v>1</v>
      </c>
      <c r="N42" s="1">
        <v>1</v>
      </c>
      <c r="O42" s="1" t="str">
        <f t="shared" si="3"/>
        <v/>
      </c>
    </row>
    <row r="43" spans="1:15" ht="49.35" customHeight="1" x14ac:dyDescent="0.25">
      <c r="A43" s="181" t="s">
        <v>75</v>
      </c>
      <c r="B43" s="181"/>
      <c r="C43" s="181"/>
      <c r="D43" s="181"/>
      <c r="E43" s="181"/>
      <c r="F43" s="7" t="s">
        <v>76</v>
      </c>
      <c r="L43" s="1">
        <f t="shared" si="4"/>
        <v>40</v>
      </c>
      <c r="M43" s="1">
        <f t="shared" si="6"/>
        <v>1</v>
      </c>
      <c r="N43" s="1">
        <v>1</v>
      </c>
      <c r="O43" s="1" t="str">
        <f t="shared" si="3"/>
        <v/>
      </c>
    </row>
    <row r="44" spans="1:15" ht="15" customHeight="1" x14ac:dyDescent="0.25">
      <c r="A44" s="182" t="s">
        <v>77</v>
      </c>
      <c r="B44" s="182"/>
      <c r="C44" s="11">
        <v>2017</v>
      </c>
      <c r="D44" s="11" t="s">
        <v>46</v>
      </c>
      <c r="E44" s="11">
        <v>2019</v>
      </c>
      <c r="F44" s="7" t="s">
        <v>78</v>
      </c>
      <c r="L44" s="1">
        <f t="shared" si="4"/>
        <v>41</v>
      </c>
      <c r="M44" s="1">
        <f t="shared" si="6"/>
        <v>1</v>
      </c>
      <c r="N44" s="1">
        <v>1</v>
      </c>
      <c r="O44" s="1" t="str">
        <f t="shared" si="3"/>
        <v/>
      </c>
    </row>
    <row r="45" spans="1:15" ht="45" x14ac:dyDescent="0.25">
      <c r="A45" s="182"/>
      <c r="B45" s="182"/>
      <c r="C45" s="11" t="s">
        <v>48</v>
      </c>
      <c r="D45" s="11" t="s">
        <v>49</v>
      </c>
      <c r="E45" s="11" t="s">
        <v>50</v>
      </c>
      <c r="F45" s="7" t="s">
        <v>79</v>
      </c>
      <c r="L45" s="1">
        <f t="shared" si="4"/>
        <v>42</v>
      </c>
      <c r="M45" s="1">
        <f t="shared" si="6"/>
        <v>1</v>
      </c>
      <c r="N45" s="1">
        <v>1</v>
      </c>
      <c r="O45" s="1" t="str">
        <f t="shared" si="3"/>
        <v/>
      </c>
    </row>
    <row r="46" spans="1:15" ht="15" customHeight="1" x14ac:dyDescent="0.25">
      <c r="A46" s="155" t="s">
        <v>51</v>
      </c>
      <c r="B46" s="155"/>
      <c r="C46" s="13"/>
      <c r="D46" s="13"/>
      <c r="E46" s="13"/>
      <c r="G46" s="3">
        <v>2015</v>
      </c>
      <c r="H46" s="3">
        <f t="shared" ref="H46:H60" si="10">IF(C46=0,0,1)</f>
        <v>0</v>
      </c>
      <c r="I46" s="1">
        <f t="shared" ref="I46:I60" si="11">IF(D46=0,0,1)</f>
        <v>0</v>
      </c>
      <c r="J46" s="1">
        <f t="shared" ref="J46:J60" si="12">IF(E46=0,0,1)</f>
        <v>0</v>
      </c>
      <c r="K46" s="4" t="str">
        <f>IF(G58=0,"Вы не предоставили данные об офисах продаж - строка 45-60 вопрос №11",IF(G58=3,0,"Проверьте данные об офисах продаж по всем трем периодам - строка 45-60 вопрос №11 (или подтвердите, что их нет - строка 60)"))</f>
        <v>Вы не предоставили данные об офисах продаж - строка 45-60 вопрос №11</v>
      </c>
      <c r="L46" s="1">
        <f t="shared" si="4"/>
        <v>43</v>
      </c>
      <c r="M46" s="1">
        <f t="shared" si="6"/>
        <v>0</v>
      </c>
      <c r="N46" s="1">
        <v>1</v>
      </c>
      <c r="O46" s="1">
        <f t="shared" si="3"/>
        <v>45</v>
      </c>
    </row>
    <row r="47" spans="1:15" ht="15" customHeight="1" x14ac:dyDescent="0.25">
      <c r="A47" s="155" t="s">
        <v>53</v>
      </c>
      <c r="B47" s="155"/>
      <c r="C47" s="13"/>
      <c r="D47" s="13"/>
      <c r="E47" s="13"/>
      <c r="G47" s="3">
        <f>SUM(H46:H60)</f>
        <v>0</v>
      </c>
      <c r="H47" s="3">
        <f t="shared" si="10"/>
        <v>0</v>
      </c>
      <c r="I47" s="1">
        <f t="shared" si="11"/>
        <v>0</v>
      </c>
      <c r="J47" s="1">
        <f t="shared" si="12"/>
        <v>0</v>
      </c>
      <c r="L47" s="1">
        <f t="shared" si="4"/>
        <v>44</v>
      </c>
      <c r="M47" s="1">
        <f t="shared" si="6"/>
        <v>1</v>
      </c>
      <c r="N47" s="1">
        <v>1</v>
      </c>
      <c r="O47" s="1" t="str">
        <f t="shared" si="3"/>
        <v/>
      </c>
    </row>
    <row r="48" spans="1:15" ht="15" customHeight="1" x14ac:dyDescent="0.25">
      <c r="A48" s="155" t="s">
        <v>54</v>
      </c>
      <c r="B48" s="155"/>
      <c r="C48" s="13"/>
      <c r="D48" s="13"/>
      <c r="E48" s="13"/>
      <c r="F48" s="6" t="s">
        <v>6</v>
      </c>
      <c r="H48" s="3">
        <f t="shared" si="10"/>
        <v>0</v>
      </c>
      <c r="I48" s="1">
        <f t="shared" si="11"/>
        <v>0</v>
      </c>
      <c r="J48" s="1">
        <f t="shared" si="12"/>
        <v>0</v>
      </c>
      <c r="L48" s="1">
        <f t="shared" si="4"/>
        <v>45</v>
      </c>
      <c r="M48" s="1">
        <f t="shared" si="6"/>
        <v>1</v>
      </c>
      <c r="N48" s="1">
        <v>1</v>
      </c>
      <c r="O48" s="1" t="str">
        <f t="shared" si="3"/>
        <v/>
      </c>
    </row>
    <row r="49" spans="1:15" ht="15" customHeight="1" x14ac:dyDescent="0.25">
      <c r="A49" s="155" t="s">
        <v>56</v>
      </c>
      <c r="B49" s="155"/>
      <c r="C49" s="13"/>
      <c r="D49" s="13"/>
      <c r="E49" s="13"/>
      <c r="F49" s="14" t="s">
        <v>80</v>
      </c>
      <c r="G49" s="3">
        <v>2016</v>
      </c>
      <c r="H49" s="3">
        <f t="shared" si="10"/>
        <v>0</v>
      </c>
      <c r="I49" s="1">
        <f t="shared" si="11"/>
        <v>0</v>
      </c>
      <c r="J49" s="1">
        <f t="shared" si="12"/>
        <v>0</v>
      </c>
      <c r="L49" s="1">
        <f t="shared" si="4"/>
        <v>46</v>
      </c>
      <c r="M49" s="1">
        <f t="shared" si="6"/>
        <v>1</v>
      </c>
      <c r="N49" s="1">
        <v>1</v>
      </c>
      <c r="O49" s="1" t="str">
        <f t="shared" si="3"/>
        <v/>
      </c>
    </row>
    <row r="50" spans="1:15" ht="12.75" customHeight="1" x14ac:dyDescent="0.25">
      <c r="A50" s="155" t="s">
        <v>58</v>
      </c>
      <c r="B50" s="155"/>
      <c r="C50" s="13"/>
      <c r="D50" s="13"/>
      <c r="E50" s="13"/>
      <c r="F50" s="14" t="s">
        <v>81</v>
      </c>
      <c r="G50" s="3">
        <f>SUM(I46:I60)</f>
        <v>0</v>
      </c>
      <c r="H50" s="3">
        <f t="shared" si="10"/>
        <v>0</v>
      </c>
      <c r="I50" s="1">
        <f t="shared" si="11"/>
        <v>0</v>
      </c>
      <c r="J50" s="1">
        <f t="shared" si="12"/>
        <v>0</v>
      </c>
      <c r="L50" s="1">
        <f t="shared" si="4"/>
        <v>47</v>
      </c>
      <c r="M50" s="1">
        <f t="shared" si="6"/>
        <v>1</v>
      </c>
      <c r="N50" s="1">
        <v>1</v>
      </c>
      <c r="O50" s="1" t="str">
        <f t="shared" si="3"/>
        <v/>
      </c>
    </row>
    <row r="51" spans="1:15" ht="12.75" customHeight="1" x14ac:dyDescent="0.25">
      <c r="A51" s="155" t="s">
        <v>60</v>
      </c>
      <c r="B51" s="155"/>
      <c r="C51" s="13"/>
      <c r="D51" s="13"/>
      <c r="E51" s="13"/>
      <c r="F51" s="14"/>
      <c r="H51" s="3">
        <f t="shared" si="10"/>
        <v>0</v>
      </c>
      <c r="I51" s="1">
        <f t="shared" si="11"/>
        <v>0</v>
      </c>
      <c r="J51" s="1">
        <f t="shared" si="12"/>
        <v>0</v>
      </c>
      <c r="L51" s="1">
        <f t="shared" si="4"/>
        <v>48</v>
      </c>
      <c r="M51" s="1">
        <f t="shared" si="6"/>
        <v>1</v>
      </c>
      <c r="N51" s="1">
        <v>1</v>
      </c>
      <c r="O51" s="1" t="str">
        <f t="shared" si="3"/>
        <v/>
      </c>
    </row>
    <row r="52" spans="1:15" ht="12.75" customHeight="1" x14ac:dyDescent="0.25">
      <c r="A52" s="155" t="s">
        <v>61</v>
      </c>
      <c r="B52" s="155"/>
      <c r="C52" s="13"/>
      <c r="D52" s="13"/>
      <c r="E52" s="13"/>
      <c r="F52" s="14"/>
      <c r="H52" s="3">
        <f t="shared" si="10"/>
        <v>0</v>
      </c>
      <c r="I52" s="1">
        <f t="shared" si="11"/>
        <v>0</v>
      </c>
      <c r="J52" s="1">
        <f t="shared" si="12"/>
        <v>0</v>
      </c>
      <c r="L52" s="1">
        <f t="shared" si="4"/>
        <v>49</v>
      </c>
      <c r="M52" s="1">
        <f t="shared" si="6"/>
        <v>1</v>
      </c>
      <c r="N52" s="1">
        <v>1</v>
      </c>
      <c r="O52" s="1" t="str">
        <f t="shared" si="3"/>
        <v/>
      </c>
    </row>
    <row r="53" spans="1:15" ht="15" customHeight="1" x14ac:dyDescent="0.25">
      <c r="A53" s="155" t="s">
        <v>62</v>
      </c>
      <c r="B53" s="155"/>
      <c r="C53" s="13"/>
      <c r="D53" s="13"/>
      <c r="E53" s="13"/>
      <c r="H53" s="3">
        <f t="shared" si="10"/>
        <v>0</v>
      </c>
      <c r="I53" s="1">
        <f t="shared" si="11"/>
        <v>0</v>
      </c>
      <c r="J53" s="1">
        <f t="shared" si="12"/>
        <v>0</v>
      </c>
      <c r="L53" s="1">
        <f t="shared" si="4"/>
        <v>50</v>
      </c>
      <c r="M53" s="1">
        <f t="shared" si="6"/>
        <v>1</v>
      </c>
      <c r="N53" s="1">
        <v>1</v>
      </c>
      <c r="O53" s="1" t="str">
        <f t="shared" si="3"/>
        <v/>
      </c>
    </row>
    <row r="54" spans="1:15" ht="15" customHeight="1" x14ac:dyDescent="0.25">
      <c r="A54" s="155" t="s">
        <v>63</v>
      </c>
      <c r="B54" s="155"/>
      <c r="C54" s="13"/>
      <c r="D54" s="13"/>
      <c r="E54" s="13"/>
      <c r="F54" s="6" t="s">
        <v>6</v>
      </c>
      <c r="G54" s="3">
        <v>2017</v>
      </c>
      <c r="H54" s="3">
        <f t="shared" si="10"/>
        <v>0</v>
      </c>
      <c r="I54" s="1">
        <f t="shared" si="11"/>
        <v>0</v>
      </c>
      <c r="J54" s="1">
        <f t="shared" si="12"/>
        <v>0</v>
      </c>
      <c r="L54" s="1">
        <f t="shared" si="4"/>
        <v>51</v>
      </c>
      <c r="M54" s="1">
        <f t="shared" si="6"/>
        <v>1</v>
      </c>
      <c r="N54" s="1">
        <v>1</v>
      </c>
      <c r="O54" s="1" t="str">
        <f t="shared" si="3"/>
        <v/>
      </c>
    </row>
    <row r="55" spans="1:15" ht="15" customHeight="1" x14ac:dyDescent="0.25">
      <c r="A55" s="155" t="s">
        <v>64</v>
      </c>
      <c r="B55" s="155"/>
      <c r="C55" s="13"/>
      <c r="D55" s="13"/>
      <c r="E55" s="13"/>
      <c r="F55" s="6" t="s">
        <v>82</v>
      </c>
      <c r="G55" s="3">
        <f>SUM(J46:J60)</f>
        <v>0</v>
      </c>
      <c r="H55" s="3">
        <f t="shared" si="10"/>
        <v>0</v>
      </c>
      <c r="I55" s="1">
        <f t="shared" si="11"/>
        <v>0</v>
      </c>
      <c r="J55" s="1">
        <f t="shared" si="12"/>
        <v>0</v>
      </c>
      <c r="L55" s="1">
        <f t="shared" si="4"/>
        <v>52</v>
      </c>
      <c r="M55" s="1">
        <f t="shared" si="6"/>
        <v>1</v>
      </c>
      <c r="N55" s="1">
        <v>1</v>
      </c>
      <c r="O55" s="1" t="str">
        <f t="shared" si="3"/>
        <v/>
      </c>
    </row>
    <row r="56" spans="1:15" ht="15" customHeight="1" x14ac:dyDescent="0.25">
      <c r="A56" s="155" t="s">
        <v>65</v>
      </c>
      <c r="B56" s="155"/>
      <c r="C56" s="13"/>
      <c r="D56" s="13"/>
      <c r="E56" s="13"/>
      <c r="F56" s="6" t="s">
        <v>83</v>
      </c>
      <c r="H56" s="3">
        <f t="shared" si="10"/>
        <v>0</v>
      </c>
      <c r="I56" s="1">
        <f t="shared" si="11"/>
        <v>0</v>
      </c>
      <c r="J56" s="1">
        <f t="shared" si="12"/>
        <v>0</v>
      </c>
      <c r="L56" s="1">
        <f t="shared" si="4"/>
        <v>53</v>
      </c>
      <c r="M56" s="1">
        <f t="shared" si="6"/>
        <v>1</v>
      </c>
      <c r="N56" s="1">
        <v>1</v>
      </c>
      <c r="O56" s="1" t="str">
        <f t="shared" si="3"/>
        <v/>
      </c>
    </row>
    <row r="57" spans="1:15" ht="15" customHeight="1" x14ac:dyDescent="0.25">
      <c r="A57" s="155" t="s">
        <v>67</v>
      </c>
      <c r="B57" s="155"/>
      <c r="C57" s="13"/>
      <c r="D57" s="13"/>
      <c r="E57" s="13"/>
      <c r="G57" s="3" t="s">
        <v>68</v>
      </c>
      <c r="H57" s="3">
        <f t="shared" si="10"/>
        <v>0</v>
      </c>
      <c r="I57" s="1">
        <f t="shared" si="11"/>
        <v>0</v>
      </c>
      <c r="J57" s="1">
        <f t="shared" si="12"/>
        <v>0</v>
      </c>
      <c r="L57" s="1">
        <f t="shared" si="4"/>
        <v>54</v>
      </c>
      <c r="M57" s="1">
        <f t="shared" si="6"/>
        <v>1</v>
      </c>
      <c r="N57" s="1">
        <v>1</v>
      </c>
      <c r="O57" s="1" t="str">
        <f t="shared" si="3"/>
        <v/>
      </c>
    </row>
    <row r="58" spans="1:15" ht="15" customHeight="1" x14ac:dyDescent="0.25">
      <c r="A58" s="155" t="s">
        <v>69</v>
      </c>
      <c r="B58" s="155"/>
      <c r="C58" s="13"/>
      <c r="D58" s="13"/>
      <c r="E58" s="13"/>
      <c r="G58" s="3">
        <f>G55+G50+G47</f>
        <v>0</v>
      </c>
      <c r="H58" s="3">
        <f t="shared" si="10"/>
        <v>0</v>
      </c>
      <c r="I58" s="1">
        <f t="shared" si="11"/>
        <v>0</v>
      </c>
      <c r="J58" s="1">
        <f t="shared" si="12"/>
        <v>0</v>
      </c>
      <c r="L58" s="1">
        <f t="shared" si="4"/>
        <v>55</v>
      </c>
      <c r="M58" s="1">
        <f t="shared" si="6"/>
        <v>1</v>
      </c>
      <c r="N58" s="1">
        <v>1</v>
      </c>
      <c r="O58" s="1" t="str">
        <f t="shared" si="3"/>
        <v/>
      </c>
    </row>
    <row r="59" spans="1:15" ht="15" customHeight="1" x14ac:dyDescent="0.25">
      <c r="A59" s="155" t="s">
        <v>71</v>
      </c>
      <c r="B59" s="155"/>
      <c r="C59" s="13"/>
      <c r="D59" s="13"/>
      <c r="E59" s="13"/>
      <c r="H59" s="3">
        <f t="shared" si="10"/>
        <v>0</v>
      </c>
      <c r="I59" s="1">
        <f t="shared" si="11"/>
        <v>0</v>
      </c>
      <c r="J59" s="1">
        <f t="shared" si="12"/>
        <v>0</v>
      </c>
      <c r="L59" s="1">
        <f t="shared" si="4"/>
        <v>56</v>
      </c>
      <c r="M59" s="1">
        <f t="shared" si="6"/>
        <v>1</v>
      </c>
      <c r="N59" s="1">
        <v>1</v>
      </c>
      <c r="O59" s="1" t="str">
        <f t="shared" si="3"/>
        <v/>
      </c>
    </row>
    <row r="60" spans="1:15" ht="15" customHeight="1" x14ac:dyDescent="0.25">
      <c r="A60" s="180" t="s">
        <v>84</v>
      </c>
      <c r="B60" s="180"/>
      <c r="C60" s="13"/>
      <c r="D60" s="13"/>
      <c r="E60" s="13"/>
      <c r="F60" s="6" t="s">
        <v>85</v>
      </c>
      <c r="H60" s="3">
        <f t="shared" si="10"/>
        <v>0</v>
      </c>
      <c r="I60" s="1">
        <f t="shared" si="11"/>
        <v>0</v>
      </c>
      <c r="J60" s="1">
        <f t="shared" si="12"/>
        <v>0</v>
      </c>
      <c r="L60" s="1">
        <f t="shared" si="4"/>
        <v>57</v>
      </c>
      <c r="M60" s="1">
        <f t="shared" si="6"/>
        <v>1</v>
      </c>
      <c r="N60" s="1">
        <v>1</v>
      </c>
      <c r="O60" s="1" t="str">
        <f t="shared" si="3"/>
        <v/>
      </c>
    </row>
    <row r="61" spans="1:15" ht="29.25" customHeight="1" x14ac:dyDescent="0.25">
      <c r="A61" s="155" t="s">
        <v>86</v>
      </c>
      <c r="B61" s="155"/>
      <c r="C61" s="155"/>
      <c r="D61" s="155"/>
      <c r="E61" s="155"/>
      <c r="F61" s="6" t="s">
        <v>87</v>
      </c>
      <c r="L61" s="1" t="e">
        <f>#REF!+1</f>
        <v>#REF!</v>
      </c>
      <c r="M61" s="1">
        <f t="shared" si="6"/>
        <v>1</v>
      </c>
      <c r="N61" s="1">
        <v>1</v>
      </c>
      <c r="O61" s="1" t="str">
        <f t="shared" si="3"/>
        <v/>
      </c>
    </row>
    <row r="62" spans="1:15" ht="12.75" customHeight="1" x14ac:dyDescent="0.25">
      <c r="A62" s="179" t="s">
        <v>88</v>
      </c>
      <c r="B62" s="179"/>
      <c r="C62" s="15" t="s">
        <v>89</v>
      </c>
      <c r="D62" s="15" t="s">
        <v>90</v>
      </c>
      <c r="E62" s="15" t="s">
        <v>91</v>
      </c>
      <c r="F62" s="6" t="s">
        <v>92</v>
      </c>
      <c r="L62" s="1" t="e">
        <f t="shared" ref="L62:L199" si="13">L61+1</f>
        <v>#REF!</v>
      </c>
      <c r="M62" s="1">
        <f t="shared" si="6"/>
        <v>1</v>
      </c>
      <c r="N62" s="1">
        <v>1</v>
      </c>
      <c r="O62" s="1" t="str">
        <f t="shared" si="3"/>
        <v/>
      </c>
    </row>
    <row r="63" spans="1:15" ht="15" customHeight="1" x14ac:dyDescent="0.25">
      <c r="A63" s="155" t="s">
        <v>51</v>
      </c>
      <c r="B63" s="155"/>
      <c r="C63" s="16" t="s">
        <v>6</v>
      </c>
      <c r="D63" s="17" t="s">
        <v>6</v>
      </c>
      <c r="E63" s="17" t="s">
        <v>6</v>
      </c>
      <c r="F63" s="6" t="s">
        <v>93</v>
      </c>
      <c r="G63" s="3">
        <v>2015</v>
      </c>
      <c r="H63" s="3">
        <f t="shared" ref="H63:H69" si="14">IF(C63="-- выберите --",0,1)</f>
        <v>0</v>
      </c>
      <c r="I63" s="3">
        <f t="shared" ref="I63:I69" si="15">IF(D63="-- выберите --",0,1)</f>
        <v>0</v>
      </c>
      <c r="J63" s="3">
        <f t="shared" ref="J63:J69" si="16">IF(E63="-- выберите --",0,1)</f>
        <v>0</v>
      </c>
      <c r="K63" s="4" t="str">
        <f>IF(G74=0,"Вы не предоставили данные о географии клиентов - строка 64-77 вопрос №12",IF(G74=3,0,"Проверьте данные о географии клиентов по всем трем периодам - строка  64-77 вопрос №12"))</f>
        <v>Вы не предоставили данные о географии клиентов - строка 64-77 вопрос №12</v>
      </c>
      <c r="L63" s="1" t="e">
        <f t="shared" si="13"/>
        <v>#REF!</v>
      </c>
      <c r="M63" s="1">
        <f t="shared" si="6"/>
        <v>0</v>
      </c>
      <c r="N63" s="1">
        <v>1</v>
      </c>
      <c r="O63" s="1">
        <f t="shared" si="3"/>
        <v>62</v>
      </c>
    </row>
    <row r="64" spans="1:15" ht="15" customHeight="1" x14ac:dyDescent="0.25">
      <c r="A64" s="155" t="s">
        <v>53</v>
      </c>
      <c r="B64" s="155"/>
      <c r="C64" s="16" t="s">
        <v>6</v>
      </c>
      <c r="D64" s="17" t="s">
        <v>6</v>
      </c>
      <c r="E64" s="17" t="s">
        <v>6</v>
      </c>
      <c r="G64" s="3">
        <f>SUM(H63:H76)</f>
        <v>0</v>
      </c>
      <c r="H64" s="3">
        <f t="shared" si="14"/>
        <v>0</v>
      </c>
      <c r="I64" s="3">
        <f t="shared" si="15"/>
        <v>0</v>
      </c>
      <c r="J64" s="3">
        <f t="shared" si="16"/>
        <v>0</v>
      </c>
      <c r="L64" s="1" t="e">
        <f t="shared" si="13"/>
        <v>#REF!</v>
      </c>
      <c r="M64" s="1">
        <f t="shared" si="6"/>
        <v>1</v>
      </c>
      <c r="N64" s="1">
        <v>1</v>
      </c>
      <c r="O64" s="1" t="str">
        <f t="shared" si="3"/>
        <v/>
      </c>
    </row>
    <row r="65" spans="1:15" ht="15" customHeight="1" x14ac:dyDescent="0.25">
      <c r="A65" s="155" t="s">
        <v>54</v>
      </c>
      <c r="B65" s="155"/>
      <c r="C65" s="16" t="s">
        <v>6</v>
      </c>
      <c r="D65" s="17" t="s">
        <v>6</v>
      </c>
      <c r="E65" s="17" t="s">
        <v>6</v>
      </c>
      <c r="H65" s="3">
        <f t="shared" si="14"/>
        <v>0</v>
      </c>
      <c r="I65" s="3">
        <f t="shared" si="15"/>
        <v>0</v>
      </c>
      <c r="J65" s="3">
        <f t="shared" si="16"/>
        <v>0</v>
      </c>
      <c r="L65" s="1" t="e">
        <f t="shared" si="13"/>
        <v>#REF!</v>
      </c>
      <c r="M65" s="1">
        <f t="shared" si="6"/>
        <v>1</v>
      </c>
      <c r="N65" s="1">
        <v>1</v>
      </c>
      <c r="O65" s="1" t="str">
        <f t="shared" si="3"/>
        <v/>
      </c>
    </row>
    <row r="66" spans="1:15" ht="15" customHeight="1" x14ac:dyDescent="0.25">
      <c r="A66" s="155" t="s">
        <v>56</v>
      </c>
      <c r="B66" s="155"/>
      <c r="C66" s="16" t="s">
        <v>6</v>
      </c>
      <c r="D66" s="17" t="s">
        <v>6</v>
      </c>
      <c r="E66" s="17" t="s">
        <v>6</v>
      </c>
      <c r="G66" s="3">
        <v>2016</v>
      </c>
      <c r="H66" s="3">
        <f t="shared" si="14"/>
        <v>0</v>
      </c>
      <c r="I66" s="3">
        <f t="shared" si="15"/>
        <v>0</v>
      </c>
      <c r="J66" s="3">
        <f t="shared" si="16"/>
        <v>0</v>
      </c>
      <c r="L66" s="1" t="e">
        <f t="shared" si="13"/>
        <v>#REF!</v>
      </c>
      <c r="M66" s="1">
        <f t="shared" si="6"/>
        <v>1</v>
      </c>
      <c r="N66" s="1">
        <v>1</v>
      </c>
      <c r="O66" s="1" t="str">
        <f t="shared" si="3"/>
        <v/>
      </c>
    </row>
    <row r="67" spans="1:15" ht="15" customHeight="1" x14ac:dyDescent="0.25">
      <c r="A67" s="155" t="s">
        <v>58</v>
      </c>
      <c r="B67" s="155"/>
      <c r="C67" s="16" t="s">
        <v>6</v>
      </c>
      <c r="D67" s="17" t="s">
        <v>6</v>
      </c>
      <c r="E67" s="17" t="s">
        <v>6</v>
      </c>
      <c r="G67" s="3">
        <f>SUM(I63:I76)</f>
        <v>0</v>
      </c>
      <c r="H67" s="3">
        <f t="shared" si="14"/>
        <v>0</v>
      </c>
      <c r="I67" s="3">
        <f t="shared" si="15"/>
        <v>0</v>
      </c>
      <c r="J67" s="3">
        <f t="shared" si="16"/>
        <v>0</v>
      </c>
      <c r="L67" s="1" t="e">
        <f t="shared" si="13"/>
        <v>#REF!</v>
      </c>
      <c r="M67" s="1">
        <f t="shared" si="6"/>
        <v>1</v>
      </c>
      <c r="N67" s="1">
        <v>1</v>
      </c>
      <c r="O67" s="1" t="str">
        <f t="shared" si="3"/>
        <v/>
      </c>
    </row>
    <row r="68" spans="1:15" ht="15" customHeight="1" x14ac:dyDescent="0.25">
      <c r="A68" s="155" t="s">
        <v>60</v>
      </c>
      <c r="B68" s="155"/>
      <c r="C68" s="16" t="s">
        <v>6</v>
      </c>
      <c r="D68" s="17" t="s">
        <v>6</v>
      </c>
      <c r="E68" s="17" t="s">
        <v>6</v>
      </c>
      <c r="F68" s="6" t="s">
        <v>94</v>
      </c>
      <c r="H68" s="3">
        <f t="shared" si="14"/>
        <v>0</v>
      </c>
      <c r="I68" s="3">
        <f t="shared" si="15"/>
        <v>0</v>
      </c>
      <c r="J68" s="3">
        <f t="shared" si="16"/>
        <v>0</v>
      </c>
      <c r="L68" s="1" t="e">
        <f t="shared" si="13"/>
        <v>#REF!</v>
      </c>
      <c r="M68" s="1">
        <f t="shared" si="6"/>
        <v>1</v>
      </c>
      <c r="N68" s="1">
        <v>1</v>
      </c>
      <c r="O68" s="1" t="str">
        <f t="shared" si="3"/>
        <v/>
      </c>
    </row>
    <row r="69" spans="1:15" ht="15" customHeight="1" x14ac:dyDescent="0.25">
      <c r="A69" s="155" t="s">
        <v>61</v>
      </c>
      <c r="B69" s="155"/>
      <c r="C69" s="16" t="s">
        <v>6</v>
      </c>
      <c r="D69" s="17" t="s">
        <v>6</v>
      </c>
      <c r="E69" s="17" t="s">
        <v>6</v>
      </c>
      <c r="F69" s="6" t="s">
        <v>6</v>
      </c>
      <c r="G69" s="3">
        <v>2017</v>
      </c>
      <c r="H69" s="3">
        <f t="shared" si="14"/>
        <v>0</v>
      </c>
      <c r="I69" s="3">
        <f t="shared" si="15"/>
        <v>0</v>
      </c>
      <c r="J69" s="3">
        <f t="shared" si="16"/>
        <v>0</v>
      </c>
      <c r="L69" s="1" t="e">
        <f t="shared" si="13"/>
        <v>#REF!</v>
      </c>
      <c r="M69" s="1">
        <f t="shared" si="6"/>
        <v>1</v>
      </c>
      <c r="N69" s="1">
        <v>1</v>
      </c>
      <c r="O69" s="1" t="str">
        <f t="shared" si="3"/>
        <v/>
      </c>
    </row>
    <row r="70" spans="1:15" ht="15" customHeight="1" x14ac:dyDescent="0.25">
      <c r="A70" s="155" t="s">
        <v>62</v>
      </c>
      <c r="B70" s="155"/>
      <c r="C70" s="16" t="s">
        <v>6</v>
      </c>
      <c r="D70" s="17" t="s">
        <v>6</v>
      </c>
      <c r="E70" s="17" t="s">
        <v>6</v>
      </c>
      <c r="F70" s="6"/>
      <c r="I70" s="3"/>
      <c r="J70" s="3"/>
      <c r="L70" s="1" t="e">
        <f t="shared" si="13"/>
        <v>#REF!</v>
      </c>
      <c r="M70" s="1">
        <f t="shared" si="6"/>
        <v>1</v>
      </c>
      <c r="N70" s="1">
        <v>1</v>
      </c>
      <c r="O70" s="1" t="str">
        <f t="shared" si="3"/>
        <v/>
      </c>
    </row>
    <row r="71" spans="1:15" ht="15" customHeight="1" x14ac:dyDescent="0.25">
      <c r="A71" s="155" t="s">
        <v>63</v>
      </c>
      <c r="B71" s="155"/>
      <c r="C71" s="16" t="s">
        <v>6</v>
      </c>
      <c r="D71" s="17" t="s">
        <v>6</v>
      </c>
      <c r="E71" s="17" t="s">
        <v>6</v>
      </c>
      <c r="F71" s="6" t="s">
        <v>95</v>
      </c>
      <c r="G71" s="3">
        <f>SUM(J63:J76)</f>
        <v>0</v>
      </c>
      <c r="H71" s="3">
        <f t="shared" ref="H71:H76" si="17">IF(C71="-- выберите --",0,1)</f>
        <v>0</v>
      </c>
      <c r="I71" s="3">
        <f t="shared" ref="I71:I76" si="18">IF(D71="-- выберите --",0,1)</f>
        <v>0</v>
      </c>
      <c r="J71" s="3">
        <f t="shared" ref="J71:J76" si="19">IF(E71="-- выберите --",0,1)</f>
        <v>0</v>
      </c>
      <c r="L71" s="1" t="e">
        <f t="shared" si="13"/>
        <v>#REF!</v>
      </c>
      <c r="M71" s="1">
        <f t="shared" si="6"/>
        <v>1</v>
      </c>
      <c r="N71" s="1">
        <v>1</v>
      </c>
      <c r="O71" s="1" t="str">
        <f t="shared" si="3"/>
        <v/>
      </c>
    </row>
    <row r="72" spans="1:15" ht="15" customHeight="1" x14ac:dyDescent="0.25">
      <c r="A72" s="155" t="s">
        <v>64</v>
      </c>
      <c r="B72" s="155"/>
      <c r="C72" s="16" t="s">
        <v>6</v>
      </c>
      <c r="D72" s="17" t="s">
        <v>6</v>
      </c>
      <c r="E72" s="17" t="s">
        <v>6</v>
      </c>
      <c r="F72" s="6" t="s">
        <v>96</v>
      </c>
      <c r="H72" s="3">
        <f t="shared" si="17"/>
        <v>0</v>
      </c>
      <c r="I72" s="3">
        <f t="shared" si="18"/>
        <v>0</v>
      </c>
      <c r="J72" s="3">
        <f t="shared" si="19"/>
        <v>0</v>
      </c>
      <c r="L72" s="1" t="e">
        <f t="shared" si="13"/>
        <v>#REF!</v>
      </c>
      <c r="M72" s="1">
        <f t="shared" si="6"/>
        <v>1</v>
      </c>
      <c r="N72" s="1">
        <v>1</v>
      </c>
      <c r="O72" s="1" t="str">
        <f t="shared" si="3"/>
        <v/>
      </c>
    </row>
    <row r="73" spans="1:15" ht="15" customHeight="1" x14ac:dyDescent="0.25">
      <c r="A73" s="155" t="s">
        <v>65</v>
      </c>
      <c r="B73" s="155"/>
      <c r="C73" s="16" t="s">
        <v>6</v>
      </c>
      <c r="D73" s="17" t="s">
        <v>6</v>
      </c>
      <c r="E73" s="17" t="s">
        <v>6</v>
      </c>
      <c r="F73" s="6" t="s">
        <v>97</v>
      </c>
      <c r="G73" s="3" t="s">
        <v>68</v>
      </c>
      <c r="H73" s="3">
        <f t="shared" si="17"/>
        <v>0</v>
      </c>
      <c r="I73" s="3">
        <f t="shared" si="18"/>
        <v>0</v>
      </c>
      <c r="J73" s="3">
        <f t="shared" si="19"/>
        <v>0</v>
      </c>
      <c r="L73" s="1" t="e">
        <f t="shared" si="13"/>
        <v>#REF!</v>
      </c>
      <c r="M73" s="1">
        <f t="shared" si="6"/>
        <v>1</v>
      </c>
      <c r="N73" s="1">
        <v>1</v>
      </c>
      <c r="O73" s="1" t="str">
        <f t="shared" si="3"/>
        <v/>
      </c>
    </row>
    <row r="74" spans="1:15" ht="15" customHeight="1" x14ac:dyDescent="0.25">
      <c r="A74" s="155" t="s">
        <v>67</v>
      </c>
      <c r="B74" s="155"/>
      <c r="C74" s="16" t="s">
        <v>6</v>
      </c>
      <c r="D74" s="17" t="s">
        <v>6</v>
      </c>
      <c r="E74" s="17" t="s">
        <v>6</v>
      </c>
      <c r="F74" s="6" t="s">
        <v>98</v>
      </c>
      <c r="G74" s="3">
        <f>G71+G67+G64</f>
        <v>0</v>
      </c>
      <c r="H74" s="3">
        <f t="shared" si="17"/>
        <v>0</v>
      </c>
      <c r="I74" s="3">
        <f t="shared" si="18"/>
        <v>0</v>
      </c>
      <c r="J74" s="3">
        <f t="shared" si="19"/>
        <v>0</v>
      </c>
      <c r="L74" s="1" t="e">
        <f t="shared" si="13"/>
        <v>#REF!</v>
      </c>
      <c r="M74" s="1">
        <f t="shared" si="6"/>
        <v>1</v>
      </c>
      <c r="N74" s="1">
        <v>1</v>
      </c>
      <c r="O74" s="1" t="str">
        <f t="shared" si="3"/>
        <v/>
      </c>
    </row>
    <row r="75" spans="1:15" ht="15" customHeight="1" x14ac:dyDescent="0.25">
      <c r="A75" s="155" t="s">
        <v>69</v>
      </c>
      <c r="B75" s="155"/>
      <c r="C75" s="16" t="s">
        <v>6</v>
      </c>
      <c r="D75" s="17" t="s">
        <v>6</v>
      </c>
      <c r="E75" s="17" t="s">
        <v>6</v>
      </c>
      <c r="F75" s="6" t="s">
        <v>99</v>
      </c>
      <c r="H75" s="3">
        <f t="shared" si="17"/>
        <v>0</v>
      </c>
      <c r="I75" s="3">
        <f t="shared" si="18"/>
        <v>0</v>
      </c>
      <c r="J75" s="3">
        <f t="shared" si="19"/>
        <v>0</v>
      </c>
      <c r="L75" s="1" t="e">
        <f t="shared" si="13"/>
        <v>#REF!</v>
      </c>
      <c r="M75" s="1">
        <f t="shared" si="6"/>
        <v>1</v>
      </c>
      <c r="N75" s="1">
        <v>1</v>
      </c>
      <c r="O75" s="1" t="str">
        <f t="shared" si="3"/>
        <v/>
      </c>
    </row>
    <row r="76" spans="1:15" ht="15" customHeight="1" x14ac:dyDescent="0.25">
      <c r="A76" s="155" t="s">
        <v>71</v>
      </c>
      <c r="B76" s="155"/>
      <c r="C76" s="16" t="s">
        <v>6</v>
      </c>
      <c r="D76" s="17" t="s">
        <v>6</v>
      </c>
      <c r="E76" s="17" t="s">
        <v>6</v>
      </c>
      <c r="F76" s="6" t="s">
        <v>6</v>
      </c>
      <c r="H76" s="3">
        <f t="shared" si="17"/>
        <v>0</v>
      </c>
      <c r="I76" s="3">
        <f t="shared" si="18"/>
        <v>0</v>
      </c>
      <c r="J76" s="3">
        <f t="shared" si="19"/>
        <v>0</v>
      </c>
      <c r="L76" s="1" t="e">
        <f t="shared" si="13"/>
        <v>#REF!</v>
      </c>
      <c r="M76" s="1">
        <f t="shared" si="6"/>
        <v>1</v>
      </c>
      <c r="N76" s="1">
        <v>1</v>
      </c>
      <c r="O76" s="1" t="str">
        <f t="shared" si="3"/>
        <v/>
      </c>
    </row>
    <row r="77" spans="1:15" x14ac:dyDescent="0.25">
      <c r="A77" s="161" t="s">
        <v>100</v>
      </c>
      <c r="B77" s="161"/>
      <c r="C77" s="161"/>
      <c r="D77" s="161"/>
      <c r="E77" s="161"/>
      <c r="F77" s="2" t="s">
        <v>101</v>
      </c>
      <c r="L77" s="1" t="e">
        <f t="shared" si="13"/>
        <v>#REF!</v>
      </c>
      <c r="M77" s="1">
        <f t="shared" si="6"/>
        <v>1</v>
      </c>
      <c r="N77" s="1">
        <v>1</v>
      </c>
      <c r="O77" s="1" t="str">
        <f t="shared" si="3"/>
        <v/>
      </c>
    </row>
    <row r="78" spans="1:15" ht="34.5" customHeight="1" x14ac:dyDescent="0.25">
      <c r="A78" s="155" t="s">
        <v>102</v>
      </c>
      <c r="B78" s="155"/>
      <c r="C78" s="155"/>
      <c r="D78" s="178" t="s">
        <v>6</v>
      </c>
      <c r="E78" s="178"/>
      <c r="F78" s="2" t="s">
        <v>103</v>
      </c>
      <c r="K78" s="4">
        <f>IF(D78=0,"Вы не выбрали основной язык программирования в строке 79 вопрос №13",0)</f>
        <v>0</v>
      </c>
      <c r="L78" s="1" t="e">
        <f t="shared" si="13"/>
        <v>#REF!</v>
      </c>
      <c r="M78" s="1">
        <f t="shared" si="6"/>
        <v>1</v>
      </c>
      <c r="N78" s="1">
        <v>1</v>
      </c>
      <c r="O78" s="1" t="str">
        <f t="shared" si="3"/>
        <v/>
      </c>
    </row>
    <row r="79" spans="1:15" ht="15.75" customHeight="1" x14ac:dyDescent="0.25">
      <c r="A79" s="176" t="s">
        <v>104</v>
      </c>
      <c r="B79" s="176"/>
      <c r="C79" s="177" t="s">
        <v>105</v>
      </c>
      <c r="D79" s="177"/>
      <c r="E79" s="18" t="s">
        <v>6</v>
      </c>
      <c r="F79" s="2" t="s">
        <v>106</v>
      </c>
      <c r="G79" s="3">
        <f>SUM(H79:H87)</f>
        <v>0</v>
      </c>
      <c r="H79" s="3">
        <f t="shared" ref="H79:H123" si="20">IF(E79="-- выберите --",0,1)</f>
        <v>0</v>
      </c>
      <c r="K79" s="4" t="str">
        <f>IF(G79=0,"Вы не указали используемые языки программирования- строка 80-88 вопрос №14",0)</f>
        <v>Вы не указали используемые языки программирования- строка 80-88 вопрос №14</v>
      </c>
      <c r="L79" s="1" t="e">
        <f t="shared" si="13"/>
        <v>#REF!</v>
      </c>
      <c r="M79" s="1">
        <f t="shared" si="6"/>
        <v>0</v>
      </c>
      <c r="N79" s="1">
        <v>1</v>
      </c>
      <c r="O79" s="1">
        <f t="shared" si="3"/>
        <v>78</v>
      </c>
    </row>
    <row r="80" spans="1:15" ht="15" customHeight="1" x14ac:dyDescent="0.25">
      <c r="A80" s="176"/>
      <c r="B80" s="176"/>
      <c r="C80" s="177" t="s">
        <v>107</v>
      </c>
      <c r="D80" s="177"/>
      <c r="E80" s="18" t="s">
        <v>6</v>
      </c>
      <c r="F80" s="2" t="s">
        <v>108</v>
      </c>
      <c r="H80" s="3">
        <f t="shared" si="20"/>
        <v>0</v>
      </c>
      <c r="L80" s="1" t="e">
        <f t="shared" si="13"/>
        <v>#REF!</v>
      </c>
      <c r="M80" s="1">
        <f t="shared" si="6"/>
        <v>1</v>
      </c>
      <c r="N80" s="1">
        <v>1</v>
      </c>
      <c r="O80" s="1" t="str">
        <f t="shared" si="3"/>
        <v/>
      </c>
    </row>
    <row r="81" spans="1:15" ht="15" customHeight="1" x14ac:dyDescent="0.25">
      <c r="A81" s="176"/>
      <c r="B81" s="176"/>
      <c r="C81" s="177" t="s">
        <v>109</v>
      </c>
      <c r="D81" s="177"/>
      <c r="E81" s="18" t="s">
        <v>6</v>
      </c>
      <c r="F81" s="2" t="s">
        <v>110</v>
      </c>
      <c r="H81" s="3">
        <f t="shared" si="20"/>
        <v>0</v>
      </c>
      <c r="L81" s="1" t="e">
        <f t="shared" si="13"/>
        <v>#REF!</v>
      </c>
      <c r="M81" s="1">
        <f t="shared" si="6"/>
        <v>1</v>
      </c>
      <c r="N81" s="1">
        <v>1</v>
      </c>
      <c r="O81" s="1" t="str">
        <f t="shared" si="3"/>
        <v/>
      </c>
    </row>
    <row r="82" spans="1:15" ht="15" customHeight="1" x14ac:dyDescent="0.25">
      <c r="A82" s="176"/>
      <c r="B82" s="176"/>
      <c r="C82" s="177" t="s">
        <v>111</v>
      </c>
      <c r="D82" s="177"/>
      <c r="E82" s="18" t="s">
        <v>6</v>
      </c>
      <c r="F82" s="2" t="s">
        <v>112</v>
      </c>
      <c r="H82" s="3">
        <f t="shared" si="20"/>
        <v>0</v>
      </c>
      <c r="L82" s="1" t="e">
        <f t="shared" si="13"/>
        <v>#REF!</v>
      </c>
      <c r="M82" s="1">
        <f t="shared" si="6"/>
        <v>1</v>
      </c>
      <c r="N82" s="1">
        <v>1</v>
      </c>
      <c r="O82" s="1" t="str">
        <f t="shared" si="3"/>
        <v/>
      </c>
    </row>
    <row r="83" spans="1:15" ht="15" customHeight="1" x14ac:dyDescent="0.25">
      <c r="A83" s="176"/>
      <c r="B83" s="176"/>
      <c r="C83" s="177" t="s">
        <v>113</v>
      </c>
      <c r="D83" s="177"/>
      <c r="E83" s="18" t="s">
        <v>6</v>
      </c>
      <c r="F83" s="2" t="s">
        <v>114</v>
      </c>
      <c r="H83" s="3">
        <f t="shared" si="20"/>
        <v>0</v>
      </c>
      <c r="L83" s="1" t="e">
        <f t="shared" si="13"/>
        <v>#REF!</v>
      </c>
      <c r="M83" s="1">
        <f t="shared" si="6"/>
        <v>1</v>
      </c>
      <c r="N83" s="1">
        <v>1</v>
      </c>
      <c r="O83" s="1" t="str">
        <f t="shared" si="3"/>
        <v/>
      </c>
    </row>
    <row r="84" spans="1:15" ht="15" customHeight="1" x14ac:dyDescent="0.25">
      <c r="A84" s="176"/>
      <c r="B84" s="176"/>
      <c r="C84" s="177" t="s">
        <v>115</v>
      </c>
      <c r="D84" s="177"/>
      <c r="E84" s="18" t="s">
        <v>6</v>
      </c>
      <c r="F84" s="2" t="s">
        <v>22</v>
      </c>
      <c r="H84" s="3">
        <f t="shared" si="20"/>
        <v>0</v>
      </c>
      <c r="L84" s="1" t="e">
        <f t="shared" si="13"/>
        <v>#REF!</v>
      </c>
      <c r="M84" s="1">
        <f t="shared" si="6"/>
        <v>1</v>
      </c>
      <c r="N84" s="1">
        <v>1</v>
      </c>
      <c r="O84" s="1" t="str">
        <f t="shared" si="3"/>
        <v/>
      </c>
    </row>
    <row r="85" spans="1:15" ht="15" customHeight="1" x14ac:dyDescent="0.25">
      <c r="A85" s="176"/>
      <c r="B85" s="176"/>
      <c r="C85" s="177" t="s">
        <v>116</v>
      </c>
      <c r="D85" s="177"/>
      <c r="E85" s="18" t="s">
        <v>6</v>
      </c>
      <c r="F85" s="6" t="s">
        <v>117</v>
      </c>
      <c r="H85" s="3">
        <f t="shared" si="20"/>
        <v>0</v>
      </c>
      <c r="L85" s="1" t="e">
        <f t="shared" si="13"/>
        <v>#REF!</v>
      </c>
      <c r="M85" s="1">
        <f t="shared" si="6"/>
        <v>1</v>
      </c>
      <c r="N85" s="1">
        <v>1</v>
      </c>
      <c r="O85" s="1" t="str">
        <f t="shared" si="3"/>
        <v/>
      </c>
    </row>
    <row r="86" spans="1:15" ht="15" customHeight="1" x14ac:dyDescent="0.25">
      <c r="A86" s="176"/>
      <c r="B86" s="176"/>
      <c r="C86" s="177" t="s">
        <v>118</v>
      </c>
      <c r="D86" s="177"/>
      <c r="E86" s="18" t="s">
        <v>6</v>
      </c>
      <c r="F86" s="6" t="s">
        <v>6</v>
      </c>
      <c r="H86" s="3">
        <f t="shared" si="20"/>
        <v>0</v>
      </c>
      <c r="L86" s="1" t="e">
        <f t="shared" si="13"/>
        <v>#REF!</v>
      </c>
      <c r="M86" s="1">
        <f t="shared" si="6"/>
        <v>1</v>
      </c>
      <c r="N86" s="1">
        <v>1</v>
      </c>
      <c r="O86" s="1" t="str">
        <f t="shared" si="3"/>
        <v/>
      </c>
    </row>
    <row r="87" spans="1:15" x14ac:dyDescent="0.25">
      <c r="A87" s="176"/>
      <c r="B87" s="176"/>
      <c r="C87" s="19" t="s">
        <v>119</v>
      </c>
      <c r="D87" s="20"/>
      <c r="E87" s="18" t="s">
        <v>6</v>
      </c>
      <c r="F87" s="6" t="s">
        <v>120</v>
      </c>
      <c r="H87" s="3">
        <f t="shared" si="20"/>
        <v>0</v>
      </c>
      <c r="K87" s="4">
        <f>IF(D87=0,IF(H87=0,0,"Вы ответили -ДА- в графе -ДРУГОЕ-, укажите Ваш особый язык программирования в строке 88"),0)</f>
        <v>0</v>
      </c>
      <c r="L87" s="1" t="e">
        <f t="shared" si="13"/>
        <v>#REF!</v>
      </c>
      <c r="M87" s="1">
        <f t="shared" si="6"/>
        <v>1</v>
      </c>
      <c r="N87" s="1">
        <v>1</v>
      </c>
      <c r="O87" s="1" t="str">
        <f t="shared" si="3"/>
        <v/>
      </c>
    </row>
    <row r="88" spans="1:15" ht="15" customHeight="1" x14ac:dyDescent="0.25">
      <c r="A88" s="156" t="s">
        <v>121</v>
      </c>
      <c r="B88" s="156"/>
      <c r="C88" s="175" t="s">
        <v>122</v>
      </c>
      <c r="D88" s="175"/>
      <c r="E88" s="18" t="s">
        <v>6</v>
      </c>
      <c r="F88" s="6" t="s">
        <v>123</v>
      </c>
      <c r="G88" s="3">
        <f>SUM(H88:H95)</f>
        <v>0</v>
      </c>
      <c r="H88" s="3">
        <f t="shared" si="20"/>
        <v>0</v>
      </c>
      <c r="K88" s="4" t="str">
        <f>IF(G88=0,"Вы не указали используемые инструментальные средства- строка 89-96 вопрос №15",0)</f>
        <v>Вы не указали используемые инструментальные средства- строка 89-96 вопрос №15</v>
      </c>
      <c r="L88" s="1" t="e">
        <f t="shared" si="13"/>
        <v>#REF!</v>
      </c>
      <c r="M88" s="1">
        <f t="shared" si="6"/>
        <v>0</v>
      </c>
      <c r="N88" s="1">
        <v>1</v>
      </c>
      <c r="O88" s="1">
        <f t="shared" si="3"/>
        <v>87</v>
      </c>
    </row>
    <row r="89" spans="1:15" ht="15" customHeight="1" x14ac:dyDescent="0.25">
      <c r="A89" s="156"/>
      <c r="B89" s="156"/>
      <c r="C89" s="175" t="s">
        <v>124</v>
      </c>
      <c r="D89" s="175"/>
      <c r="E89" s="18" t="s">
        <v>6</v>
      </c>
      <c r="F89" s="6" t="s">
        <v>22</v>
      </c>
      <c r="H89" s="3">
        <f t="shared" si="20"/>
        <v>0</v>
      </c>
      <c r="L89" s="1" t="e">
        <f t="shared" si="13"/>
        <v>#REF!</v>
      </c>
      <c r="M89" s="1">
        <f t="shared" si="6"/>
        <v>1</v>
      </c>
      <c r="N89" s="1">
        <v>1</v>
      </c>
      <c r="O89" s="1" t="str">
        <f t="shared" si="3"/>
        <v/>
      </c>
    </row>
    <row r="90" spans="1:15" ht="15" customHeight="1" x14ac:dyDescent="0.25">
      <c r="A90" s="156"/>
      <c r="B90" s="156"/>
      <c r="C90" s="175" t="s">
        <v>125</v>
      </c>
      <c r="D90" s="175"/>
      <c r="E90" s="18" t="s">
        <v>6</v>
      </c>
      <c r="F90" s="6" t="s">
        <v>52</v>
      </c>
      <c r="H90" s="3">
        <f t="shared" si="20"/>
        <v>0</v>
      </c>
      <c r="L90" s="1" t="e">
        <f t="shared" si="13"/>
        <v>#REF!</v>
      </c>
      <c r="M90" s="1">
        <f t="shared" si="6"/>
        <v>1</v>
      </c>
      <c r="N90" s="1">
        <v>1</v>
      </c>
      <c r="O90" s="1" t="str">
        <f t="shared" si="3"/>
        <v/>
      </c>
    </row>
    <row r="91" spans="1:15" ht="15" customHeight="1" x14ac:dyDescent="0.25">
      <c r="A91" s="156"/>
      <c r="B91" s="156"/>
      <c r="C91" s="175" t="s">
        <v>126</v>
      </c>
      <c r="D91" s="175"/>
      <c r="E91" s="18" t="s">
        <v>6</v>
      </c>
      <c r="F91" s="21"/>
      <c r="H91" s="3">
        <f t="shared" si="20"/>
        <v>0</v>
      </c>
      <c r="L91" s="1" t="e">
        <f t="shared" si="13"/>
        <v>#REF!</v>
      </c>
      <c r="M91" s="1">
        <f t="shared" si="6"/>
        <v>1</v>
      </c>
      <c r="N91" s="1">
        <v>1</v>
      </c>
      <c r="O91" s="1" t="str">
        <f t="shared" si="3"/>
        <v/>
      </c>
    </row>
    <row r="92" spans="1:15" ht="15" customHeight="1" x14ac:dyDescent="0.25">
      <c r="A92" s="156"/>
      <c r="B92" s="156"/>
      <c r="C92" s="175" t="s">
        <v>127</v>
      </c>
      <c r="D92" s="175"/>
      <c r="E92" s="18" t="s">
        <v>6</v>
      </c>
      <c r="H92" s="3">
        <f t="shared" si="20"/>
        <v>0</v>
      </c>
      <c r="L92" s="1" t="e">
        <f t="shared" si="13"/>
        <v>#REF!</v>
      </c>
      <c r="M92" s="1">
        <f t="shared" si="6"/>
        <v>1</v>
      </c>
      <c r="N92" s="1">
        <v>1</v>
      </c>
      <c r="O92" s="1" t="str">
        <f t="shared" si="3"/>
        <v/>
      </c>
    </row>
    <row r="93" spans="1:15" ht="15" customHeight="1" x14ac:dyDescent="0.25">
      <c r="A93" s="156"/>
      <c r="B93" s="156"/>
      <c r="C93" s="175" t="s">
        <v>128</v>
      </c>
      <c r="D93" s="175"/>
      <c r="E93" s="18" t="s">
        <v>6</v>
      </c>
      <c r="H93" s="3">
        <f t="shared" si="20"/>
        <v>0</v>
      </c>
      <c r="L93" s="1" t="e">
        <f t="shared" si="13"/>
        <v>#REF!</v>
      </c>
      <c r="M93" s="1">
        <f t="shared" si="6"/>
        <v>1</v>
      </c>
      <c r="N93" s="1">
        <v>1</v>
      </c>
      <c r="O93" s="1" t="str">
        <f t="shared" si="3"/>
        <v/>
      </c>
    </row>
    <row r="94" spans="1:15" ht="15" customHeight="1" x14ac:dyDescent="0.25">
      <c r="A94" s="156"/>
      <c r="B94" s="156"/>
      <c r="C94" s="22" t="s">
        <v>119</v>
      </c>
      <c r="D94" s="23"/>
      <c r="E94" s="18" t="s">
        <v>6</v>
      </c>
      <c r="H94" s="3">
        <f t="shared" si="20"/>
        <v>0</v>
      </c>
      <c r="K94" s="4">
        <f>IF(D94=0,IF(H94=0,0,"Вы указали -ДА- в графе -ДРУГОЕ-, укажите инструментальное средство в строке 96"),0)</f>
        <v>0</v>
      </c>
      <c r="L94" s="1" t="e">
        <f t="shared" si="13"/>
        <v>#REF!</v>
      </c>
      <c r="M94" s="1">
        <f t="shared" si="6"/>
        <v>1</v>
      </c>
      <c r="N94" s="1">
        <v>1</v>
      </c>
      <c r="O94" s="1" t="str">
        <f t="shared" si="3"/>
        <v/>
      </c>
    </row>
    <row r="95" spans="1:15" ht="15" customHeight="1" x14ac:dyDescent="0.25">
      <c r="A95" s="156"/>
      <c r="B95" s="156"/>
      <c r="C95" s="174" t="s">
        <v>129</v>
      </c>
      <c r="D95" s="174"/>
      <c r="E95" s="18" t="s">
        <v>6</v>
      </c>
      <c r="H95" s="3">
        <f t="shared" si="20"/>
        <v>0</v>
      </c>
      <c r="L95" s="1" t="e">
        <f t="shared" si="13"/>
        <v>#REF!</v>
      </c>
      <c r="M95" s="1">
        <f t="shared" si="6"/>
        <v>1</v>
      </c>
      <c r="N95" s="1">
        <v>1</v>
      </c>
      <c r="O95" s="1" t="str">
        <f t="shared" si="3"/>
        <v/>
      </c>
    </row>
    <row r="96" spans="1:15" ht="15.75" customHeight="1" x14ac:dyDescent="0.25">
      <c r="A96" s="156" t="s">
        <v>130</v>
      </c>
      <c r="B96" s="156"/>
      <c r="C96" s="171" t="s">
        <v>131</v>
      </c>
      <c r="D96" s="171"/>
      <c r="E96" s="18" t="s">
        <v>6</v>
      </c>
      <c r="G96" s="3">
        <f>SUM(H96:H106)</f>
        <v>0</v>
      </c>
      <c r="H96" s="3">
        <f t="shared" si="20"/>
        <v>0</v>
      </c>
      <c r="K96" s="4" t="str">
        <f>IF(G96=0,"Вы не указали используемые ОС- строка 97-107 вопрос №16",0)</f>
        <v>Вы не указали используемые ОС- строка 97-107 вопрос №16</v>
      </c>
      <c r="L96" s="1" t="e">
        <f t="shared" si="13"/>
        <v>#REF!</v>
      </c>
      <c r="M96" s="1">
        <f t="shared" si="6"/>
        <v>0</v>
      </c>
      <c r="N96" s="1">
        <v>1</v>
      </c>
      <c r="O96" s="1">
        <f t="shared" si="3"/>
        <v>95</v>
      </c>
    </row>
    <row r="97" spans="1:15" ht="15" customHeight="1" x14ac:dyDescent="0.25">
      <c r="A97" s="156"/>
      <c r="B97" s="156"/>
      <c r="C97" s="171" t="s">
        <v>132</v>
      </c>
      <c r="D97" s="171"/>
      <c r="E97" s="18" t="s">
        <v>6</v>
      </c>
      <c r="H97" s="3">
        <f t="shared" si="20"/>
        <v>0</v>
      </c>
      <c r="L97" s="1" t="e">
        <f t="shared" si="13"/>
        <v>#REF!</v>
      </c>
      <c r="M97" s="1">
        <f t="shared" si="6"/>
        <v>1</v>
      </c>
      <c r="N97" s="1">
        <v>1</v>
      </c>
      <c r="O97" s="1" t="str">
        <f t="shared" si="3"/>
        <v/>
      </c>
    </row>
    <row r="98" spans="1:15" ht="15" customHeight="1" x14ac:dyDescent="0.25">
      <c r="A98" s="156"/>
      <c r="B98" s="156"/>
      <c r="C98" s="171" t="s">
        <v>133</v>
      </c>
      <c r="D98" s="171"/>
      <c r="E98" s="18" t="s">
        <v>6</v>
      </c>
      <c r="F98" s="2" t="s">
        <v>134</v>
      </c>
      <c r="H98" s="3">
        <f t="shared" si="20"/>
        <v>0</v>
      </c>
      <c r="L98" s="1" t="e">
        <f t="shared" si="13"/>
        <v>#REF!</v>
      </c>
      <c r="M98" s="1">
        <f t="shared" si="6"/>
        <v>1</v>
      </c>
      <c r="N98" s="1">
        <v>1</v>
      </c>
      <c r="O98" s="1" t="str">
        <f t="shared" si="3"/>
        <v/>
      </c>
    </row>
    <row r="99" spans="1:15" ht="15" customHeight="1" x14ac:dyDescent="0.25">
      <c r="A99" s="156"/>
      <c r="B99" s="156"/>
      <c r="C99" s="171" t="s">
        <v>135</v>
      </c>
      <c r="D99" s="171"/>
      <c r="E99" s="18" t="s">
        <v>6</v>
      </c>
      <c r="F99" s="2" t="str">
        <f t="shared" ref="F99:F108" si="21">B12</f>
        <v>Заказная разработка</v>
      </c>
      <c r="H99" s="3">
        <f t="shared" si="20"/>
        <v>0</v>
      </c>
      <c r="L99" s="1" t="e">
        <f t="shared" si="13"/>
        <v>#REF!</v>
      </c>
      <c r="M99" s="1">
        <f t="shared" si="6"/>
        <v>1</v>
      </c>
      <c r="N99" s="1">
        <v>1</v>
      </c>
      <c r="O99" s="1" t="str">
        <f t="shared" si="3"/>
        <v/>
      </c>
    </row>
    <row r="100" spans="1:15" ht="15" customHeight="1" x14ac:dyDescent="0.25">
      <c r="A100" s="156"/>
      <c r="B100" s="156"/>
      <c r="C100" s="171" t="s">
        <v>136</v>
      </c>
      <c r="D100" s="171"/>
      <c r="E100" s="18" t="s">
        <v>6</v>
      </c>
      <c r="F100" s="2" t="str">
        <f t="shared" si="21"/>
        <v>Мобильные приложения</v>
      </c>
      <c r="H100" s="3">
        <f t="shared" si="20"/>
        <v>0</v>
      </c>
      <c r="L100" s="1" t="e">
        <f t="shared" si="13"/>
        <v>#REF!</v>
      </c>
      <c r="M100" s="1">
        <f t="shared" si="6"/>
        <v>1</v>
      </c>
      <c r="N100" s="1">
        <v>1</v>
      </c>
      <c r="O100" s="1" t="str">
        <f t="shared" si="3"/>
        <v/>
      </c>
    </row>
    <row r="101" spans="1:15" ht="15" customHeight="1" x14ac:dyDescent="0.25">
      <c r="A101" s="156"/>
      <c r="B101" s="156"/>
      <c r="C101" s="171" t="s">
        <v>137</v>
      </c>
      <c r="D101" s="171"/>
      <c r="E101" s="18" t="s">
        <v>6</v>
      </c>
      <c r="F101" s="2" t="str">
        <f t="shared" si="21"/>
        <v>Разработка сайтов</v>
      </c>
      <c r="H101" s="3">
        <f t="shared" si="20"/>
        <v>0</v>
      </c>
      <c r="L101" s="1" t="e">
        <f t="shared" si="13"/>
        <v>#REF!</v>
      </c>
      <c r="M101" s="1">
        <f t="shared" si="6"/>
        <v>1</v>
      </c>
      <c r="N101" s="1">
        <v>1</v>
      </c>
      <c r="O101" s="1" t="str">
        <f t="shared" si="3"/>
        <v/>
      </c>
    </row>
    <row r="102" spans="1:15" ht="15" customHeight="1" x14ac:dyDescent="0.25">
      <c r="A102" s="156"/>
      <c r="B102" s="156"/>
      <c r="C102" s="171" t="s">
        <v>138</v>
      </c>
      <c r="D102" s="171"/>
      <c r="E102" s="18" t="s">
        <v>6</v>
      </c>
      <c r="F102" s="2" t="str">
        <f t="shared" si="21"/>
        <v>Компьютерные игры</v>
      </c>
      <c r="H102" s="3">
        <f t="shared" si="20"/>
        <v>0</v>
      </c>
      <c r="L102" s="1" t="e">
        <f t="shared" si="13"/>
        <v>#REF!</v>
      </c>
      <c r="M102" s="1">
        <f t="shared" si="6"/>
        <v>1</v>
      </c>
      <c r="N102" s="1">
        <v>1</v>
      </c>
      <c r="O102" s="1" t="str">
        <f t="shared" si="3"/>
        <v/>
      </c>
    </row>
    <row r="103" spans="1:15" ht="15" customHeight="1" x14ac:dyDescent="0.25">
      <c r="A103" s="156"/>
      <c r="B103" s="156"/>
      <c r="C103" s="171" t="s">
        <v>139</v>
      </c>
      <c r="D103" s="171"/>
      <c r="E103" s="18" t="s">
        <v>6</v>
      </c>
      <c r="F103" s="2" t="str">
        <f t="shared" si="21"/>
        <v>Встроенное ПО (в оборудование, устройства)</v>
      </c>
      <c r="H103" s="3">
        <f t="shared" si="20"/>
        <v>0</v>
      </c>
      <c r="L103" s="1" t="e">
        <f t="shared" si="13"/>
        <v>#REF!</v>
      </c>
      <c r="M103" s="1">
        <f t="shared" si="6"/>
        <v>1</v>
      </c>
      <c r="N103" s="1">
        <v>1</v>
      </c>
      <c r="O103" s="1" t="str">
        <f t="shared" si="3"/>
        <v/>
      </c>
    </row>
    <row r="104" spans="1:15" ht="15" customHeight="1" x14ac:dyDescent="0.25">
      <c r="A104" s="156"/>
      <c r="B104" s="156"/>
      <c r="C104" s="171" t="s">
        <v>140</v>
      </c>
      <c r="D104" s="171"/>
      <c r="E104" s="18" t="s">
        <v>6</v>
      </c>
      <c r="F104" s="2" t="str">
        <f t="shared" si="21"/>
        <v>Навигационные системы и Геоинформационные системы (ГИС)</v>
      </c>
      <c r="H104" s="3">
        <f t="shared" si="20"/>
        <v>0</v>
      </c>
      <c r="L104" s="1" t="e">
        <f t="shared" si="13"/>
        <v>#REF!</v>
      </c>
      <c r="M104" s="1">
        <f t="shared" si="6"/>
        <v>1</v>
      </c>
      <c r="N104" s="1">
        <v>1</v>
      </c>
      <c r="O104" s="1" t="str">
        <f t="shared" si="3"/>
        <v/>
      </c>
    </row>
    <row r="105" spans="1:15" ht="15" customHeight="1" x14ac:dyDescent="0.25">
      <c r="A105" s="156"/>
      <c r="B105" s="156"/>
      <c r="C105" s="171" t="s">
        <v>141</v>
      </c>
      <c r="D105" s="171"/>
      <c r="E105" s="18" t="s">
        <v>6</v>
      </c>
      <c r="F105" s="2" t="str">
        <f t="shared" si="21"/>
        <v>Тиражируемые системы управления предприятием (учреждением), автоматизации документооборота, проектирования и производственного процесса (ERP, CRM, ECM, СЭД, САПР, АСУ ТП и другие)</v>
      </c>
      <c r="H105" s="3">
        <f t="shared" si="20"/>
        <v>0</v>
      </c>
      <c r="L105" s="1" t="e">
        <f t="shared" si="13"/>
        <v>#REF!</v>
      </c>
      <c r="M105" s="1">
        <f t="shared" si="6"/>
        <v>1</v>
      </c>
      <c r="N105" s="1">
        <v>1</v>
      </c>
      <c r="O105" s="1" t="str">
        <f t="shared" si="3"/>
        <v/>
      </c>
    </row>
    <row r="106" spans="1:15" x14ac:dyDescent="0.25">
      <c r="A106" s="156"/>
      <c r="B106" s="156"/>
      <c r="C106" s="22" t="s">
        <v>119</v>
      </c>
      <c r="D106" s="23"/>
      <c r="E106" s="18" t="s">
        <v>6</v>
      </c>
      <c r="F106" s="2" t="str">
        <f t="shared" si="21"/>
        <v>Решения в сфере информационной безопасности</v>
      </c>
      <c r="G106" s="3">
        <f>SUM(H107:H123)</f>
        <v>0</v>
      </c>
      <c r="H106" s="3">
        <f t="shared" si="20"/>
        <v>0</v>
      </c>
      <c r="K106" s="4">
        <f>IF(D106=0,IF(H106=0,0,"Вы указали -ДА- в графе -ДРУГОЕ-, укажите ОС в строке 107"),0)</f>
        <v>0</v>
      </c>
      <c r="L106" s="1" t="e">
        <f t="shared" si="13"/>
        <v>#REF!</v>
      </c>
      <c r="M106" s="1">
        <f t="shared" si="6"/>
        <v>1</v>
      </c>
      <c r="N106" s="1">
        <v>1</v>
      </c>
      <c r="O106" s="1" t="str">
        <f t="shared" si="3"/>
        <v/>
      </c>
    </row>
    <row r="107" spans="1:15" ht="15" customHeight="1" x14ac:dyDescent="0.25">
      <c r="A107" s="156" t="s">
        <v>142</v>
      </c>
      <c r="B107" s="156"/>
      <c r="C107" s="171" t="s">
        <v>143</v>
      </c>
      <c r="D107" s="171"/>
      <c r="E107" s="18" t="s">
        <v>6</v>
      </c>
      <c r="F107" s="2" t="str">
        <f t="shared" si="21"/>
        <v>Разработка базового ПО (СУБД, ОС, офисные приложения, языки и инструменты программирования)</v>
      </c>
      <c r="H107" s="3">
        <f t="shared" si="20"/>
        <v>0</v>
      </c>
      <c r="K107" s="4" t="str">
        <f>IF(G106=0,"Вы не указали используемые СУБД- строка 108-124 вопрос №17",0)</f>
        <v>Вы не указали используемые СУБД- строка 108-124 вопрос №17</v>
      </c>
      <c r="L107" s="1" t="e">
        <f t="shared" si="13"/>
        <v>#REF!</v>
      </c>
      <c r="M107" s="1">
        <f t="shared" si="6"/>
        <v>0</v>
      </c>
      <c r="N107" s="1">
        <v>1</v>
      </c>
      <c r="O107" s="1">
        <f t="shared" si="3"/>
        <v>106</v>
      </c>
    </row>
    <row r="108" spans="1:15" ht="15" customHeight="1" x14ac:dyDescent="0.25">
      <c r="A108" s="156"/>
      <c r="B108" s="156"/>
      <c r="C108" s="171" t="s">
        <v>144</v>
      </c>
      <c r="D108" s="171"/>
      <c r="E108" s="18" t="s">
        <v>6</v>
      </c>
      <c r="F108" s="2" t="str">
        <f t="shared" si="21"/>
        <v>Проведение научных исследований</v>
      </c>
      <c r="H108" s="3">
        <f t="shared" si="20"/>
        <v>0</v>
      </c>
      <c r="L108" s="1" t="e">
        <f t="shared" si="13"/>
        <v>#REF!</v>
      </c>
      <c r="M108" s="1">
        <f t="shared" si="6"/>
        <v>1</v>
      </c>
      <c r="N108" s="1">
        <v>1</v>
      </c>
      <c r="O108" s="1" t="str">
        <f t="shared" si="3"/>
        <v/>
      </c>
    </row>
    <row r="109" spans="1:15" ht="15" customHeight="1" x14ac:dyDescent="0.25">
      <c r="A109" s="156"/>
      <c r="B109" s="156"/>
      <c r="C109" s="171" t="s">
        <v>145</v>
      </c>
      <c r="D109" s="171"/>
      <c r="E109" s="18" t="s">
        <v>6</v>
      </c>
      <c r="F109" s="2" t="str">
        <f>CONCATENATE(B22," - ",C22)</f>
        <v xml:space="preserve">Другое - </v>
      </c>
      <c r="G109" s="1"/>
      <c r="H109" s="3">
        <f t="shared" si="20"/>
        <v>0</v>
      </c>
      <c r="L109" s="1" t="e">
        <f t="shared" si="13"/>
        <v>#REF!</v>
      </c>
      <c r="M109" s="1">
        <f t="shared" si="6"/>
        <v>1</v>
      </c>
      <c r="N109" s="1">
        <v>1</v>
      </c>
      <c r="O109" s="1" t="str">
        <f t="shared" si="3"/>
        <v/>
      </c>
    </row>
    <row r="110" spans="1:15" ht="15" customHeight="1" x14ac:dyDescent="0.25">
      <c r="A110" s="156"/>
      <c r="B110" s="156"/>
      <c r="C110" s="171" t="s">
        <v>146</v>
      </c>
      <c r="D110" s="171"/>
      <c r="E110" s="18" t="s">
        <v>6</v>
      </c>
      <c r="F110" s="2" t="str">
        <f>IF(C22=0," ",C22)</f>
        <v xml:space="preserve"> </v>
      </c>
      <c r="H110" s="3">
        <f t="shared" si="20"/>
        <v>0</v>
      </c>
      <c r="L110" s="1" t="e">
        <f t="shared" si="13"/>
        <v>#REF!</v>
      </c>
      <c r="M110" s="1">
        <f t="shared" si="6"/>
        <v>1</v>
      </c>
      <c r="N110" s="1">
        <v>1</v>
      </c>
      <c r="O110" s="1" t="str">
        <f t="shared" si="3"/>
        <v/>
      </c>
    </row>
    <row r="111" spans="1:15" ht="15" customHeight="1" x14ac:dyDescent="0.25">
      <c r="A111" s="156"/>
      <c r="B111" s="156"/>
      <c r="C111" s="171" t="s">
        <v>147</v>
      </c>
      <c r="D111" s="171"/>
      <c r="E111" s="18" t="s">
        <v>6</v>
      </c>
      <c r="H111" s="3">
        <f t="shared" si="20"/>
        <v>0</v>
      </c>
      <c r="L111" s="1" t="e">
        <f t="shared" si="13"/>
        <v>#REF!</v>
      </c>
      <c r="M111" s="1">
        <f t="shared" si="6"/>
        <v>1</v>
      </c>
      <c r="N111" s="1">
        <v>1</v>
      </c>
      <c r="O111" s="1" t="str">
        <f t="shared" si="3"/>
        <v/>
      </c>
    </row>
    <row r="112" spans="1:15" ht="15" customHeight="1" x14ac:dyDescent="0.25">
      <c r="A112" s="156"/>
      <c r="B112" s="156"/>
      <c r="C112" s="171" t="s">
        <v>148</v>
      </c>
      <c r="D112" s="171"/>
      <c r="E112" s="18" t="s">
        <v>6</v>
      </c>
      <c r="H112" s="3">
        <f t="shared" si="20"/>
        <v>0</v>
      </c>
      <c r="L112" s="1" t="e">
        <f t="shared" si="13"/>
        <v>#REF!</v>
      </c>
      <c r="M112" s="1">
        <f t="shared" si="6"/>
        <v>1</v>
      </c>
      <c r="N112" s="1">
        <v>1</v>
      </c>
      <c r="O112" s="1" t="str">
        <f t="shared" si="3"/>
        <v/>
      </c>
    </row>
    <row r="113" spans="1:15" ht="15" customHeight="1" x14ac:dyDescent="0.25">
      <c r="A113" s="156"/>
      <c r="B113" s="156"/>
      <c r="C113" s="171" t="s">
        <v>149</v>
      </c>
      <c r="D113" s="171"/>
      <c r="E113" s="18" t="s">
        <v>6</v>
      </c>
      <c r="H113" s="3">
        <f t="shared" si="20"/>
        <v>0</v>
      </c>
      <c r="L113" s="1" t="e">
        <f t="shared" si="13"/>
        <v>#REF!</v>
      </c>
      <c r="M113" s="1">
        <f t="shared" si="6"/>
        <v>1</v>
      </c>
      <c r="N113" s="1">
        <v>1</v>
      </c>
      <c r="O113" s="1" t="str">
        <f t="shared" si="3"/>
        <v/>
      </c>
    </row>
    <row r="114" spans="1:15" ht="15" customHeight="1" x14ac:dyDescent="0.25">
      <c r="A114" s="156"/>
      <c r="B114" s="156"/>
      <c r="C114" s="171" t="s">
        <v>150</v>
      </c>
      <c r="D114" s="171"/>
      <c r="E114" s="18" t="s">
        <v>6</v>
      </c>
      <c r="H114" s="3">
        <f t="shared" si="20"/>
        <v>0</v>
      </c>
      <c r="L114" s="1" t="e">
        <f t="shared" si="13"/>
        <v>#REF!</v>
      </c>
      <c r="M114" s="1">
        <f t="shared" si="6"/>
        <v>1</v>
      </c>
      <c r="N114" s="1">
        <v>1</v>
      </c>
      <c r="O114" s="1" t="str">
        <f t="shared" si="3"/>
        <v/>
      </c>
    </row>
    <row r="115" spans="1:15" ht="15" customHeight="1" x14ac:dyDescent="0.25">
      <c r="A115" s="156"/>
      <c r="B115" s="156"/>
      <c r="C115" s="171" t="s">
        <v>151</v>
      </c>
      <c r="D115" s="171"/>
      <c r="E115" s="18" t="s">
        <v>6</v>
      </c>
      <c r="H115" s="3">
        <f t="shared" si="20"/>
        <v>0</v>
      </c>
      <c r="L115" s="1" t="e">
        <f t="shared" si="13"/>
        <v>#REF!</v>
      </c>
      <c r="M115" s="1">
        <f t="shared" si="6"/>
        <v>1</v>
      </c>
      <c r="N115" s="1">
        <v>1</v>
      </c>
      <c r="O115" s="1" t="str">
        <f t="shared" si="3"/>
        <v/>
      </c>
    </row>
    <row r="116" spans="1:15" ht="15" customHeight="1" x14ac:dyDescent="0.25">
      <c r="A116" s="156"/>
      <c r="B116" s="156"/>
      <c r="C116" s="171" t="s">
        <v>152</v>
      </c>
      <c r="D116" s="171"/>
      <c r="E116" s="18" t="s">
        <v>6</v>
      </c>
      <c r="F116" s="2" t="s">
        <v>6</v>
      </c>
      <c r="H116" s="3">
        <f t="shared" si="20"/>
        <v>0</v>
      </c>
      <c r="L116" s="1" t="e">
        <f t="shared" si="13"/>
        <v>#REF!</v>
      </c>
      <c r="M116" s="1">
        <f t="shared" si="6"/>
        <v>1</v>
      </c>
      <c r="N116" s="1">
        <v>1</v>
      </c>
      <c r="O116" s="1" t="str">
        <f t="shared" si="3"/>
        <v/>
      </c>
    </row>
    <row r="117" spans="1:15" ht="15" customHeight="1" x14ac:dyDescent="0.25">
      <c r="A117" s="156"/>
      <c r="B117" s="156"/>
      <c r="C117" s="171" t="s">
        <v>153</v>
      </c>
      <c r="D117" s="171"/>
      <c r="E117" s="18" t="s">
        <v>6</v>
      </c>
      <c r="F117" s="2" t="str">
        <f t="shared" ref="F117:F124" si="22">C79</f>
        <v xml:space="preserve">С </v>
      </c>
      <c r="H117" s="3">
        <f t="shared" si="20"/>
        <v>0</v>
      </c>
      <c r="L117" s="1" t="e">
        <f t="shared" si="13"/>
        <v>#REF!</v>
      </c>
      <c r="M117" s="1">
        <f t="shared" si="6"/>
        <v>1</v>
      </c>
      <c r="N117" s="1">
        <v>1</v>
      </c>
      <c r="O117" s="1" t="str">
        <f t="shared" si="3"/>
        <v/>
      </c>
    </row>
    <row r="118" spans="1:15" ht="15" customHeight="1" x14ac:dyDescent="0.25">
      <c r="A118" s="156"/>
      <c r="B118" s="156"/>
      <c r="C118" s="171" t="s">
        <v>154</v>
      </c>
      <c r="D118" s="171"/>
      <c r="E118" s="18" t="s">
        <v>6</v>
      </c>
      <c r="F118" s="2" t="str">
        <f t="shared" si="22"/>
        <v xml:space="preserve">С++ </v>
      </c>
      <c r="H118" s="3">
        <f t="shared" si="20"/>
        <v>0</v>
      </c>
      <c r="L118" s="1" t="e">
        <f t="shared" si="13"/>
        <v>#REF!</v>
      </c>
      <c r="M118" s="1">
        <f t="shared" si="6"/>
        <v>1</v>
      </c>
      <c r="N118" s="1">
        <v>1</v>
      </c>
      <c r="O118" s="1" t="str">
        <f t="shared" si="3"/>
        <v/>
      </c>
    </row>
    <row r="119" spans="1:15" ht="15" customHeight="1" x14ac:dyDescent="0.25">
      <c r="A119" s="156"/>
      <c r="B119" s="156"/>
      <c r="C119" s="171" t="s">
        <v>155</v>
      </c>
      <c r="D119" s="171"/>
      <c r="E119" s="18" t="s">
        <v>6</v>
      </c>
      <c r="F119" s="2" t="str">
        <f t="shared" si="22"/>
        <v xml:space="preserve">С# </v>
      </c>
      <c r="H119" s="3">
        <f t="shared" si="20"/>
        <v>0</v>
      </c>
      <c r="L119" s="1" t="e">
        <f t="shared" si="13"/>
        <v>#REF!</v>
      </c>
      <c r="M119" s="1">
        <f t="shared" si="6"/>
        <v>1</v>
      </c>
      <c r="N119" s="1">
        <v>1</v>
      </c>
      <c r="O119" s="1" t="str">
        <f t="shared" si="3"/>
        <v/>
      </c>
    </row>
    <row r="120" spans="1:15" ht="15" customHeight="1" x14ac:dyDescent="0.25">
      <c r="A120" s="156"/>
      <c r="B120" s="156"/>
      <c r="C120" s="171" t="s">
        <v>156</v>
      </c>
      <c r="D120" s="171"/>
      <c r="E120" s="18" t="s">
        <v>6</v>
      </c>
      <c r="F120" s="2" t="str">
        <f t="shared" si="22"/>
        <v>Java</v>
      </c>
      <c r="H120" s="3">
        <f t="shared" si="20"/>
        <v>0</v>
      </c>
      <c r="L120" s="1" t="e">
        <f t="shared" si="13"/>
        <v>#REF!</v>
      </c>
      <c r="M120" s="1">
        <f t="shared" si="6"/>
        <v>1</v>
      </c>
      <c r="N120" s="1">
        <v>1</v>
      </c>
      <c r="O120" s="1" t="str">
        <f t="shared" si="3"/>
        <v/>
      </c>
    </row>
    <row r="121" spans="1:15" ht="15" customHeight="1" x14ac:dyDescent="0.25">
      <c r="A121" s="156"/>
      <c r="B121" s="156"/>
      <c r="C121" s="171" t="s">
        <v>157</v>
      </c>
      <c r="D121" s="171"/>
      <c r="E121" s="18" t="s">
        <v>6</v>
      </c>
      <c r="F121" s="2" t="str">
        <f t="shared" si="22"/>
        <v xml:space="preserve">Delphi </v>
      </c>
      <c r="H121" s="3">
        <f t="shared" si="20"/>
        <v>0</v>
      </c>
      <c r="L121" s="1" t="e">
        <f t="shared" si="13"/>
        <v>#REF!</v>
      </c>
      <c r="M121" s="1">
        <f t="shared" si="6"/>
        <v>1</v>
      </c>
      <c r="N121" s="1">
        <v>1</v>
      </c>
      <c r="O121" s="1" t="str">
        <f t="shared" si="3"/>
        <v/>
      </c>
    </row>
    <row r="122" spans="1:15" ht="15" customHeight="1" x14ac:dyDescent="0.25">
      <c r="A122" s="156"/>
      <c r="B122" s="156"/>
      <c r="C122" s="171" t="s">
        <v>158</v>
      </c>
      <c r="D122" s="171"/>
      <c r="E122" s="18" t="s">
        <v>6</v>
      </c>
      <c r="F122" s="2" t="str">
        <f t="shared" si="22"/>
        <v xml:space="preserve">.Net </v>
      </c>
      <c r="H122" s="3">
        <f t="shared" si="20"/>
        <v>0</v>
      </c>
      <c r="L122" s="1" t="e">
        <f t="shared" si="13"/>
        <v>#REF!</v>
      </c>
      <c r="M122" s="1">
        <f t="shared" si="6"/>
        <v>1</v>
      </c>
      <c r="N122" s="1">
        <v>1</v>
      </c>
      <c r="O122" s="1" t="str">
        <f t="shared" si="3"/>
        <v/>
      </c>
    </row>
    <row r="123" spans="1:15" x14ac:dyDescent="0.25">
      <c r="A123" s="156"/>
      <c r="B123" s="156"/>
      <c r="C123" s="22" t="s">
        <v>119</v>
      </c>
      <c r="D123" s="23"/>
      <c r="E123" s="18" t="s">
        <v>6</v>
      </c>
      <c r="F123" s="2" t="str">
        <f t="shared" si="22"/>
        <v xml:space="preserve">PHP </v>
      </c>
      <c r="H123" s="3">
        <f t="shared" si="20"/>
        <v>0</v>
      </c>
      <c r="K123" s="4">
        <f>IF(D123=0,IF(H123=0,0,"Вы указали -ДА- в графе -ДРУГОЕ-, укажите СУБД в строке 124"),0)</f>
        <v>0</v>
      </c>
      <c r="L123" s="1" t="e">
        <f t="shared" si="13"/>
        <v>#REF!</v>
      </c>
      <c r="M123" s="1">
        <f t="shared" si="6"/>
        <v>1</v>
      </c>
      <c r="N123" s="1">
        <v>1</v>
      </c>
      <c r="O123" s="1" t="str">
        <f t="shared" si="3"/>
        <v/>
      </c>
    </row>
    <row r="124" spans="1:15" x14ac:dyDescent="0.25">
      <c r="A124" s="161" t="s">
        <v>159</v>
      </c>
      <c r="B124" s="161"/>
      <c r="C124" s="161"/>
      <c r="D124" s="161"/>
      <c r="E124" s="161"/>
      <c r="F124" s="2" t="str">
        <f t="shared" si="22"/>
        <v>HTML5 </v>
      </c>
      <c r="L124" s="1" t="e">
        <f t="shared" si="13"/>
        <v>#REF!</v>
      </c>
      <c r="M124" s="1">
        <f t="shared" si="6"/>
        <v>1</v>
      </c>
      <c r="N124" s="1">
        <v>1</v>
      </c>
      <c r="O124" s="1" t="str">
        <f t="shared" si="3"/>
        <v/>
      </c>
    </row>
    <row r="125" spans="1:15" ht="26.85" customHeight="1" x14ac:dyDescent="0.25">
      <c r="A125" s="156" t="s">
        <v>160</v>
      </c>
      <c r="B125" s="156"/>
      <c r="C125" s="174" t="s">
        <v>161</v>
      </c>
      <c r="D125" s="174"/>
      <c r="E125" s="24" t="s">
        <v>162</v>
      </c>
      <c r="F125" s="2" t="str">
        <f>IF(D87=0," ",D87)</f>
        <v xml:space="preserve"> </v>
      </c>
      <c r="G125" s="3">
        <f>SUM(H125:H128)</f>
        <v>0</v>
      </c>
      <c r="H125" s="3">
        <f>IF(E125="___%",0,1)</f>
        <v>0</v>
      </c>
      <c r="K125" s="4" t="str">
        <f>IF(G125=0,"Вы не предоставили данные о развитии инфраструктуры - строка 126-130 вопрос №18",IF(G125=4,0,"Проверьте данные о гразвитии инфраструктуры  по всем четырем показателям - трока 126-130 вопрос №18"))</f>
        <v>Вы не предоставили данные о развитии инфраструктуры - строка 126-130 вопрос №18</v>
      </c>
      <c r="L125" s="1" t="e">
        <f t="shared" si="13"/>
        <v>#REF!</v>
      </c>
      <c r="M125" s="1">
        <f t="shared" si="6"/>
        <v>0</v>
      </c>
      <c r="N125" s="1">
        <v>1</v>
      </c>
      <c r="O125" s="1">
        <f t="shared" si="3"/>
        <v>124</v>
      </c>
    </row>
    <row r="126" spans="1:15" ht="15" customHeight="1" x14ac:dyDescent="0.25">
      <c r="A126" s="156"/>
      <c r="B126" s="156"/>
      <c r="C126" s="174" t="s">
        <v>163</v>
      </c>
      <c r="D126" s="174"/>
      <c r="E126" s="24" t="s">
        <v>162</v>
      </c>
      <c r="H126" s="3">
        <f>IF(E126="___%",0,1)</f>
        <v>0</v>
      </c>
      <c r="L126" s="1" t="e">
        <f t="shared" si="13"/>
        <v>#REF!</v>
      </c>
      <c r="M126" s="1">
        <f t="shared" si="6"/>
        <v>1</v>
      </c>
      <c r="N126" s="1">
        <v>1</v>
      </c>
      <c r="O126" s="1" t="str">
        <f t="shared" si="3"/>
        <v/>
      </c>
    </row>
    <row r="127" spans="1:15" ht="15" customHeight="1" x14ac:dyDescent="0.25">
      <c r="A127" s="156"/>
      <c r="B127" s="156"/>
      <c r="C127" s="174" t="s">
        <v>164</v>
      </c>
      <c r="D127" s="174"/>
      <c r="E127" s="24" t="s">
        <v>162</v>
      </c>
      <c r="H127" s="3">
        <f>IF(E127="___%",0,1)</f>
        <v>0</v>
      </c>
      <c r="L127" s="1" t="e">
        <f t="shared" si="13"/>
        <v>#REF!</v>
      </c>
      <c r="M127" s="1">
        <f t="shared" si="6"/>
        <v>1</v>
      </c>
      <c r="N127" s="1">
        <v>1</v>
      </c>
      <c r="O127" s="1" t="str">
        <f t="shared" si="3"/>
        <v/>
      </c>
    </row>
    <row r="128" spans="1:15" ht="12.75" customHeight="1" x14ac:dyDescent="0.25">
      <c r="A128" s="156"/>
      <c r="B128" s="156"/>
      <c r="C128" s="174" t="s">
        <v>165</v>
      </c>
      <c r="D128" s="174"/>
      <c r="E128" s="24" t="s">
        <v>162</v>
      </c>
      <c r="H128" s="3">
        <f>IF(E128="___%",0,1)</f>
        <v>0</v>
      </c>
      <c r="L128" s="1" t="e">
        <f t="shared" si="13"/>
        <v>#REF!</v>
      </c>
      <c r="M128" s="1">
        <f t="shared" si="6"/>
        <v>1</v>
      </c>
      <c r="N128" s="1">
        <v>1</v>
      </c>
      <c r="O128" s="1" t="str">
        <f t="shared" si="3"/>
        <v/>
      </c>
    </row>
    <row r="129" spans="1:15" ht="30.75" customHeight="1" x14ac:dyDescent="0.25">
      <c r="A129" s="156" t="s">
        <v>166</v>
      </c>
      <c r="B129" s="156"/>
      <c r="C129" s="156"/>
      <c r="D129" s="18" t="s">
        <v>6</v>
      </c>
      <c r="E129" s="24" t="s">
        <v>162</v>
      </c>
      <c r="G129" s="3">
        <f>IF(D129="увеличение",1,IF(D129="уменьшение",1,0))</f>
        <v>0</v>
      </c>
      <c r="H129" s="3">
        <f>IF(D129="-- выберите --",0,IF(G129=1,1,2))</f>
        <v>0</v>
      </c>
      <c r="I129" s="1">
        <f>IF(E129="___%",0,IF(E129=0,0,IF(E129=" ",0,1)))</f>
        <v>0</v>
      </c>
      <c r="K129" s="4" t="str">
        <f>IF(H129=0,"Вы не указали тенденцию изменения затрат на аренду офиса в течение 2017 года - строка 130 вопрос №19",IF(H129=1,IF(I129=0,"Вы не указали % изменения затрат на аренду в 2017 году - строка 130 вопрос №19",0),0))</f>
        <v>Вы не указали тенденцию изменения затрат на аренду офиса в течение 2017 года - строка 130 вопрос №19</v>
      </c>
      <c r="L129" s="1" t="e">
        <f t="shared" si="13"/>
        <v>#REF!</v>
      </c>
      <c r="M129" s="1">
        <f t="shared" si="6"/>
        <v>0</v>
      </c>
      <c r="N129" s="1">
        <v>1</v>
      </c>
      <c r="O129" s="1">
        <f t="shared" si="3"/>
        <v>128</v>
      </c>
    </row>
    <row r="130" spans="1:15" x14ac:dyDescent="0.25">
      <c r="A130" s="161" t="s">
        <v>167</v>
      </c>
      <c r="B130" s="161"/>
      <c r="C130" s="161"/>
      <c r="D130" s="161"/>
      <c r="E130" s="161"/>
      <c r="F130" s="2" t="s">
        <v>6</v>
      </c>
      <c r="L130" s="1" t="e">
        <f t="shared" si="13"/>
        <v>#REF!</v>
      </c>
      <c r="M130" s="1">
        <f t="shared" si="6"/>
        <v>1</v>
      </c>
      <c r="N130" s="1">
        <v>1</v>
      </c>
      <c r="O130" s="1" t="str">
        <f t="shared" si="3"/>
        <v/>
      </c>
    </row>
    <row r="131" spans="1:15" ht="29.85" customHeight="1" x14ac:dyDescent="0.25">
      <c r="A131" s="156" t="s">
        <v>168</v>
      </c>
      <c r="B131" s="156"/>
      <c r="C131" s="156"/>
      <c r="D131" s="156"/>
      <c r="E131" s="25" t="s">
        <v>169</v>
      </c>
      <c r="F131" s="2" t="s">
        <v>170</v>
      </c>
      <c r="K131" s="4" t="str">
        <f>IF(E131="___чел.","Вы не предоставили данные о количестве сотрудников на конец 2017 года - строка 132 вопрос №20",0)</f>
        <v>Вы не предоставили данные о количестве сотрудников на конец 2017 года - строка 132 вопрос №20</v>
      </c>
      <c r="L131" s="1" t="e">
        <f t="shared" si="13"/>
        <v>#REF!</v>
      </c>
      <c r="M131" s="1">
        <f t="shared" si="6"/>
        <v>0</v>
      </c>
      <c r="N131" s="1">
        <v>1</v>
      </c>
      <c r="O131" s="1">
        <f t="shared" si="3"/>
        <v>130</v>
      </c>
    </row>
    <row r="132" spans="1:15" ht="27.6" customHeight="1" x14ac:dyDescent="0.25">
      <c r="A132" s="156" t="s">
        <v>171</v>
      </c>
      <c r="B132" s="156"/>
      <c r="C132" s="156"/>
      <c r="D132" s="156"/>
      <c r="E132" s="25" t="s">
        <v>169</v>
      </c>
      <c r="F132" s="2" t="s">
        <v>172</v>
      </c>
      <c r="K132" s="4" t="str">
        <f>IF(E132="___чел.","Вы не указали численность профильных технических сотрудников вашей компании по состоянию на конец 2017 года - строка 133 вопрос №21",0)</f>
        <v>Вы не указали численность профильных технических сотрудников вашей компании по состоянию на конец 2017 года - строка 133 вопрос №21</v>
      </c>
      <c r="L132" s="1" t="e">
        <f t="shared" si="13"/>
        <v>#REF!</v>
      </c>
      <c r="M132" s="1">
        <f t="shared" si="6"/>
        <v>0</v>
      </c>
      <c r="N132" s="1">
        <v>1</v>
      </c>
      <c r="O132" s="1">
        <f t="shared" si="3"/>
        <v>131</v>
      </c>
    </row>
    <row r="133" spans="1:15" ht="30.75" customHeight="1" x14ac:dyDescent="0.25">
      <c r="A133" s="156" t="s">
        <v>173</v>
      </c>
      <c r="B133" s="156"/>
      <c r="C133" s="156"/>
      <c r="D133" s="18" t="s">
        <v>6</v>
      </c>
      <c r="E133" s="25" t="s">
        <v>162</v>
      </c>
      <c r="F133" s="2" t="s">
        <v>174</v>
      </c>
      <c r="G133" s="3">
        <f>IF(D133="увеличение",1,IF(D133="уменьшение",1,0))</f>
        <v>0</v>
      </c>
      <c r="H133" s="3">
        <f>IF(D133="-- выберите --",0,IF(G133=1,1,2))</f>
        <v>0</v>
      </c>
      <c r="I133" s="1">
        <f>IF(E133="___%",0,IF(E133=0,0,IF(E133=" ",0,1)))</f>
        <v>0</v>
      </c>
      <c r="K133" s="4" t="str">
        <f>IF(H133=0,"Вы не указали тенденцию изменения численности сотрудников в течение 2017 года - строка 134 вопрос №22",IF(H133=1,IF(I133=0,"Вы не указали % изменения количества сотрудников в 2017 году - строка 134 вопрос №22",0),0))</f>
        <v>Вы не указали тенденцию изменения численности сотрудников в течение 2017 года - строка 134 вопрос №22</v>
      </c>
      <c r="L133" s="1" t="e">
        <f t="shared" si="13"/>
        <v>#REF!</v>
      </c>
      <c r="M133" s="1">
        <f t="shared" si="6"/>
        <v>0</v>
      </c>
      <c r="N133" s="1">
        <v>1</v>
      </c>
      <c r="O133" s="1">
        <f t="shared" si="3"/>
        <v>132</v>
      </c>
    </row>
    <row r="134" spans="1:15" ht="29.25" customHeight="1" x14ac:dyDescent="0.25">
      <c r="A134" s="156" t="s">
        <v>175</v>
      </c>
      <c r="B134" s="156" t="s">
        <v>176</v>
      </c>
      <c r="C134" s="156"/>
      <c r="D134" s="156"/>
      <c r="E134" s="25" t="s">
        <v>162</v>
      </c>
      <c r="F134" s="2" t="s">
        <v>177</v>
      </c>
      <c r="I134" s="26"/>
      <c r="K134" s="4" t="str">
        <f>IF(E134="___%","Вы не предоставили данные о доле новых сотрудников, прибывших из-за рубежа - строка 135 вопрос №23",0)</f>
        <v>Вы не предоставили данные о доле новых сотрудников, прибывших из-за рубежа - строка 135 вопрос №23</v>
      </c>
      <c r="L134" s="1" t="e">
        <f t="shared" si="13"/>
        <v>#REF!</v>
      </c>
      <c r="M134" s="1">
        <f t="shared" si="6"/>
        <v>0</v>
      </c>
      <c r="N134" s="1">
        <v>1</v>
      </c>
      <c r="O134" s="1">
        <f t="shared" si="3"/>
        <v>133</v>
      </c>
    </row>
    <row r="135" spans="1:15" ht="15" customHeight="1" x14ac:dyDescent="0.25">
      <c r="A135" s="156" t="s">
        <v>178</v>
      </c>
      <c r="B135" s="156"/>
      <c r="C135" s="156"/>
      <c r="D135" s="156"/>
      <c r="E135" s="18" t="s">
        <v>6</v>
      </c>
      <c r="F135" s="2" t="s">
        <v>179</v>
      </c>
      <c r="H135" s="27"/>
      <c r="I135" s="26"/>
      <c r="K135" s="4" t="str">
        <f>IF(E135="-- выберите --","Вы не ответили на вопрос о миграции сотрудников - строка 136 вопрос №24",0)</f>
        <v>Вы не ответили на вопрос о миграции сотрудников - строка 136 вопрос №24</v>
      </c>
      <c r="L135" s="1" t="e">
        <f t="shared" si="13"/>
        <v>#REF!</v>
      </c>
      <c r="M135" s="1">
        <f t="shared" si="6"/>
        <v>0</v>
      </c>
      <c r="N135" s="1">
        <v>1</v>
      </c>
      <c r="O135" s="1">
        <f t="shared" si="3"/>
        <v>134</v>
      </c>
    </row>
    <row r="136" spans="1:15" ht="32.25" customHeight="1" x14ac:dyDescent="0.25">
      <c r="A136" s="156" t="s">
        <v>180</v>
      </c>
      <c r="B136" s="156"/>
      <c r="C136" s="156"/>
      <c r="D136" s="18" t="s">
        <v>6</v>
      </c>
      <c r="E136" s="25" t="s">
        <v>162</v>
      </c>
      <c r="G136" s="3">
        <f>IF(D136="увеличение",1,IF(D136="уменьшение",1,0))</f>
        <v>0</v>
      </c>
      <c r="H136" s="3">
        <f>IF(D136="-- выберите --",0,IF(G136=1,1,2))</f>
        <v>0</v>
      </c>
      <c r="I136" s="1">
        <f>IF(E136="___%",0,IF(E136=0,0,IF(E136=" ",0,1)))</f>
        <v>0</v>
      </c>
      <c r="K136" s="4" t="str">
        <f>IF(H136=0,"Вы не указали тенденцию изменения численности сотрудников в течение 2018 года - строка 137 вопрос №25",IF(H136=1,IF(I136=0,"Вы не указали % изменения количества сотрудников в 2018 году - строка 137 вопрос №25",0),0))</f>
        <v>Вы не указали тенденцию изменения численности сотрудников в течение 2018 года - строка 137 вопрос №25</v>
      </c>
      <c r="L136" s="1" t="e">
        <f t="shared" si="13"/>
        <v>#REF!</v>
      </c>
      <c r="M136" s="1">
        <f t="shared" si="6"/>
        <v>0</v>
      </c>
      <c r="N136" s="1">
        <v>1</v>
      </c>
      <c r="O136" s="1">
        <f t="shared" si="3"/>
        <v>135</v>
      </c>
    </row>
    <row r="137" spans="1:15" ht="44.25" customHeight="1" x14ac:dyDescent="0.25">
      <c r="A137" s="156" t="s">
        <v>181</v>
      </c>
      <c r="B137" s="156"/>
      <c r="C137" s="156"/>
      <c r="D137" s="18" t="s">
        <v>6</v>
      </c>
      <c r="E137" s="25" t="s">
        <v>162</v>
      </c>
      <c r="G137" s="3">
        <f>IF(D137="увеличение",1,IF(D137="уменьшение",1,0))</f>
        <v>0</v>
      </c>
      <c r="H137" s="3">
        <f>IF(D137="-- выберите --",0,IF(G137=1,1,2))</f>
        <v>0</v>
      </c>
      <c r="I137" s="1">
        <f>IF(E137="___%",0,IF(E137=0,0,IF(E137=" ",0,1)))</f>
        <v>0</v>
      </c>
      <c r="K137" s="4" t="str">
        <f>IF(H137=0,"Вы не указали тенденцию изменения уровня зарплаты в 2017 году - строка 138 вопрос №26",IF(H137=1,IF(I137=0,"Вы не указали % изменения уровня зарплаты в  2017 году - строка 138 вопрос №26",0),0))</f>
        <v>Вы не указали тенденцию изменения уровня зарплаты в 2017 году - строка 138 вопрос №26</v>
      </c>
      <c r="L137" s="1" t="e">
        <f t="shared" si="13"/>
        <v>#REF!</v>
      </c>
      <c r="M137" s="1">
        <f t="shared" si="6"/>
        <v>0</v>
      </c>
      <c r="N137" s="1">
        <v>1</v>
      </c>
      <c r="O137" s="1">
        <f t="shared" si="3"/>
        <v>136</v>
      </c>
    </row>
    <row r="138" spans="1:15" ht="49.9" customHeight="1" x14ac:dyDescent="0.25">
      <c r="A138" s="156" t="s">
        <v>182</v>
      </c>
      <c r="B138" s="156"/>
      <c r="C138" s="156"/>
      <c r="D138" s="156"/>
      <c r="E138" s="25" t="s">
        <v>162</v>
      </c>
      <c r="K138" s="4" t="str">
        <f>IF(E138="___%","Вы не ответили на вопрос о % сотрудников, покинувших компанию - строка 139 вопрос №27",0)</f>
        <v>Вы не ответили на вопрос о % сотрудников, покинувших компанию - строка 139 вопрос №27</v>
      </c>
      <c r="L138" s="1" t="e">
        <f t="shared" si="13"/>
        <v>#REF!</v>
      </c>
      <c r="M138" s="1">
        <f t="shared" si="6"/>
        <v>0</v>
      </c>
      <c r="N138" s="1">
        <v>1</v>
      </c>
      <c r="O138" s="1">
        <f t="shared" si="3"/>
        <v>137</v>
      </c>
    </row>
    <row r="139" spans="1:15" ht="30" customHeight="1" x14ac:dyDescent="0.25">
      <c r="A139" s="172" t="s">
        <v>183</v>
      </c>
      <c r="B139" s="172"/>
      <c r="C139" s="172"/>
      <c r="D139" s="172"/>
      <c r="E139" s="28" t="s">
        <v>162</v>
      </c>
      <c r="K139" s="4" t="str">
        <f>IF(E139="___%","Вы не ответили на вопрос о % выпускников, принятых в компанию - строка 140 вопрос №28",0)</f>
        <v>Вы не ответили на вопрос о % выпускников, принятых в компанию - строка 140 вопрос №28</v>
      </c>
      <c r="L139" s="1" t="e">
        <f t="shared" si="13"/>
        <v>#REF!</v>
      </c>
      <c r="M139" s="1">
        <f t="shared" si="6"/>
        <v>0</v>
      </c>
      <c r="N139" s="1">
        <v>1</v>
      </c>
      <c r="O139" s="1">
        <f t="shared" si="3"/>
        <v>138</v>
      </c>
    </row>
    <row r="140" spans="1:15" ht="77.25" customHeight="1" x14ac:dyDescent="0.25">
      <c r="A140" s="156" t="s">
        <v>184</v>
      </c>
      <c r="B140" s="156"/>
      <c r="C140" s="173"/>
      <c r="D140" s="173"/>
      <c r="E140" s="173"/>
      <c r="K140" s="4" t="str">
        <f>IF(C140=0,"Вы не перечислили вузы, выпускники которых пользуются наибольшим спросом среди ИТ-компаний вашего региона - строка 141 вопрос №29",0)</f>
        <v>Вы не перечислили вузы, выпускники которых пользуются наибольшим спросом среди ИТ-компаний вашего региона - строка 141 вопрос №29</v>
      </c>
      <c r="L140" s="1" t="e">
        <f t="shared" si="13"/>
        <v>#REF!</v>
      </c>
      <c r="M140" s="1">
        <f t="shared" si="6"/>
        <v>0</v>
      </c>
      <c r="N140" s="1">
        <v>1</v>
      </c>
      <c r="O140" s="1">
        <f t="shared" si="3"/>
        <v>139</v>
      </c>
    </row>
    <row r="141" spans="1:15" ht="15" customHeight="1" x14ac:dyDescent="0.25">
      <c r="A141" s="169" t="s">
        <v>185</v>
      </c>
      <c r="B141" s="169"/>
      <c r="C141" s="170" t="s">
        <v>55</v>
      </c>
      <c r="D141" s="170"/>
      <c r="E141" s="29" t="s">
        <v>6</v>
      </c>
      <c r="G141" s="3">
        <f>SUM(H141:H144)</f>
        <v>0</v>
      </c>
      <c r="H141" s="3">
        <f>IF(E141="-- выберите --",0,1)</f>
        <v>0</v>
      </c>
      <c r="K141" s="4" t="str">
        <f>IF(G141=0,"Вы не предоставили данные о партнерских программах - строка 142-145 вопрос №30",0)</f>
        <v>Вы не предоставили данные о партнерских программах - строка 142-145 вопрос №30</v>
      </c>
      <c r="L141" s="1" t="e">
        <f t="shared" si="13"/>
        <v>#REF!</v>
      </c>
      <c r="M141" s="1">
        <f t="shared" si="6"/>
        <v>0</v>
      </c>
      <c r="N141" s="1">
        <v>1</v>
      </c>
      <c r="O141" s="1">
        <f t="shared" si="3"/>
        <v>140</v>
      </c>
    </row>
    <row r="142" spans="1:15" ht="15" customHeight="1" x14ac:dyDescent="0.25">
      <c r="A142" s="169"/>
      <c r="B142" s="169"/>
      <c r="C142" s="171" t="s">
        <v>57</v>
      </c>
      <c r="D142" s="171"/>
      <c r="E142" s="18" t="s">
        <v>6</v>
      </c>
      <c r="H142" s="3">
        <f>IF(E142="-- выберите --",0,1)</f>
        <v>0</v>
      </c>
      <c r="L142" s="1" t="e">
        <f t="shared" si="13"/>
        <v>#REF!</v>
      </c>
      <c r="M142" s="1">
        <f t="shared" si="6"/>
        <v>1</v>
      </c>
      <c r="N142" s="1">
        <v>1</v>
      </c>
      <c r="O142" s="1" t="str">
        <f t="shared" si="3"/>
        <v/>
      </c>
    </row>
    <row r="143" spans="1:15" ht="15" customHeight="1" x14ac:dyDescent="0.25">
      <c r="A143" s="169"/>
      <c r="B143" s="169"/>
      <c r="C143" s="171" t="s">
        <v>59</v>
      </c>
      <c r="D143" s="171"/>
      <c r="E143" s="18" t="s">
        <v>6</v>
      </c>
      <c r="F143" s="2" t="s">
        <v>6</v>
      </c>
      <c r="H143" s="3">
        <f>IF(E143="-- выберите --",0,1)</f>
        <v>0</v>
      </c>
      <c r="L143" s="1" t="e">
        <f t="shared" si="13"/>
        <v>#REF!</v>
      </c>
      <c r="M143" s="1">
        <f t="shared" si="6"/>
        <v>1</v>
      </c>
      <c r="N143" s="1">
        <v>1</v>
      </c>
      <c r="O143" s="1" t="str">
        <f t="shared" si="3"/>
        <v/>
      </c>
    </row>
    <row r="144" spans="1:15" x14ac:dyDescent="0.25">
      <c r="A144" s="169"/>
      <c r="B144" s="169"/>
      <c r="C144" s="22" t="s">
        <v>38</v>
      </c>
      <c r="D144" s="30"/>
      <c r="E144" s="18" t="s">
        <v>6</v>
      </c>
      <c r="F144" s="2" t="s">
        <v>186</v>
      </c>
      <c r="H144" s="3">
        <f>IF(E144="-- выберите --",0,1)</f>
        <v>0</v>
      </c>
      <c r="K144" s="4">
        <f>IF(D144=0,IF(H144=0,0,"Вы указали -ДА- в графе -ДРУГОЕ-, укажите партнерскую программу в строке 145"),0)</f>
        <v>0</v>
      </c>
      <c r="L144" s="1" t="e">
        <f t="shared" si="13"/>
        <v>#REF!</v>
      </c>
      <c r="M144" s="1">
        <f t="shared" si="6"/>
        <v>1</v>
      </c>
      <c r="N144" s="1">
        <v>1</v>
      </c>
      <c r="O144" s="1" t="str">
        <f t="shared" si="3"/>
        <v/>
      </c>
    </row>
    <row r="145" spans="1:17" x14ac:dyDescent="0.25">
      <c r="A145" s="161" t="s">
        <v>187</v>
      </c>
      <c r="B145" s="161"/>
      <c r="C145" s="161"/>
      <c r="D145" s="161"/>
      <c r="E145" s="161"/>
      <c r="F145" s="2" t="s">
        <v>188</v>
      </c>
      <c r="L145" s="1" t="e">
        <f t="shared" si="13"/>
        <v>#REF!</v>
      </c>
      <c r="M145" s="1">
        <f t="shared" si="6"/>
        <v>1</v>
      </c>
      <c r="N145" s="1">
        <v>1</v>
      </c>
      <c r="O145" s="1" t="str">
        <f t="shared" si="3"/>
        <v/>
      </c>
    </row>
    <row r="146" spans="1:17" ht="60" customHeight="1" x14ac:dyDescent="0.25">
      <c r="A146" s="156" t="s">
        <v>189</v>
      </c>
      <c r="B146" s="156"/>
      <c r="C146" s="156"/>
      <c r="D146" s="156"/>
      <c r="E146" s="18" t="s">
        <v>6</v>
      </c>
      <c r="F146" s="2" t="s">
        <v>190</v>
      </c>
      <c r="K146" s="4" t="str">
        <f>IF(E146="-- выберите --","Вы не указали диапазон годового оборота - строка 147 вопрос №31",0)</f>
        <v>Вы не указали диапазон годового оборота - строка 147 вопрос №31</v>
      </c>
      <c r="L146" s="1" t="e">
        <f t="shared" si="13"/>
        <v>#REF!</v>
      </c>
      <c r="M146" s="1">
        <f t="shared" si="6"/>
        <v>0</v>
      </c>
      <c r="N146" s="1">
        <v>1</v>
      </c>
      <c r="O146" s="1">
        <f t="shared" si="3"/>
        <v>145</v>
      </c>
    </row>
    <row r="147" spans="1:17" ht="49.9" customHeight="1" x14ac:dyDescent="0.25">
      <c r="A147" s="156" t="s">
        <v>191</v>
      </c>
      <c r="B147" s="156"/>
      <c r="C147" s="156"/>
      <c r="D147" s="156"/>
      <c r="E147" s="25" t="s">
        <v>192</v>
      </c>
      <c r="F147" s="2" t="s">
        <v>193</v>
      </c>
      <c r="K147" s="4" t="str">
        <f>IF(E147="___млн. USD","Вы не указали точный диапазон годового оборота - строка 148 вопрос №32",0)</f>
        <v>Вы не указали точный диапазон годового оборота - строка 148 вопрос №32</v>
      </c>
      <c r="L147" s="1" t="e">
        <f t="shared" si="13"/>
        <v>#REF!</v>
      </c>
      <c r="M147" s="1">
        <f t="shared" si="6"/>
        <v>0</v>
      </c>
      <c r="N147" s="1">
        <v>1</v>
      </c>
      <c r="O147" s="1">
        <f t="shared" si="3"/>
        <v>146</v>
      </c>
    </row>
    <row r="148" spans="1:17" ht="93" customHeight="1" x14ac:dyDescent="0.25">
      <c r="A148" s="156" t="s">
        <v>194</v>
      </c>
      <c r="B148" s="156"/>
      <c r="C148" s="156"/>
      <c r="D148" s="18" t="s">
        <v>6</v>
      </c>
      <c r="E148" s="25" t="s">
        <v>162</v>
      </c>
      <c r="F148" s="2" t="s">
        <v>195</v>
      </c>
      <c r="G148" s="3">
        <f>IF(D148="увеличение",1,IF(D148="уменьшение",1,0))</f>
        <v>0</v>
      </c>
      <c r="H148" s="3">
        <f>IF(D148="-- выберите --",0,IF(G148=1,1,2))</f>
        <v>0</v>
      </c>
      <c r="I148" s="1">
        <f>IF(E148="___%",0,IF(E148=0,0,IF(E148=" ",0,1)))</f>
        <v>0</v>
      </c>
      <c r="K148" s="4" t="str">
        <f>IF(H148=0,"Вы не указали тенденцию изменения оборота в 2017 году - строка 149 вопрос №33",IF(H148=1,IF(I148=0,"Вы не указали % изменения оборота в 2017 году - строка 149 вопрос №33",0),0))</f>
        <v>Вы не указали тенденцию изменения оборота в 2017 году - строка 149 вопрос №33</v>
      </c>
      <c r="L148" s="1" t="e">
        <f t="shared" si="13"/>
        <v>#REF!</v>
      </c>
      <c r="M148" s="1">
        <f t="shared" si="6"/>
        <v>0</v>
      </c>
      <c r="N148" s="1">
        <v>1</v>
      </c>
      <c r="O148" s="1">
        <f t="shared" si="3"/>
        <v>147</v>
      </c>
    </row>
    <row r="149" spans="1:17" ht="44.85" customHeight="1" x14ac:dyDescent="0.25">
      <c r="A149" s="156" t="s">
        <v>196</v>
      </c>
      <c r="B149" s="156"/>
      <c r="C149" s="156"/>
      <c r="D149" s="18" t="s">
        <v>6</v>
      </c>
      <c r="E149" s="25" t="s">
        <v>162</v>
      </c>
      <c r="F149" s="2" t="s">
        <v>22</v>
      </c>
      <c r="G149" s="3">
        <f>IF(D149="увеличение",1,IF(D149="уменьшение",1,0))</f>
        <v>0</v>
      </c>
      <c r="H149" s="3">
        <f>IF(D149="-- выберите --",0,IF(G149=1,1,2))</f>
        <v>0</v>
      </c>
      <c r="I149" s="1">
        <f>IF(E149="___%",0,IF(E149=0,0,IF(E149=" ",0,1)))</f>
        <v>0</v>
      </c>
      <c r="K149" s="4" t="str">
        <f>IF(H149=0,"Вы не указали тенденцию изменения оборота в 2018 году - строка 150 вопрос №34",IF(H149=1,IF(I149=0,"Вы не указали % изменения оборота в 2018 году - строка 150 вопрос №34",0),0))</f>
        <v>Вы не указали тенденцию изменения оборота в 2018 году - строка 150 вопрос №34</v>
      </c>
      <c r="L149" s="1" t="e">
        <f t="shared" si="13"/>
        <v>#REF!</v>
      </c>
      <c r="M149" s="1">
        <f t="shared" si="6"/>
        <v>0</v>
      </c>
      <c r="N149" s="1">
        <v>1</v>
      </c>
      <c r="O149" s="1">
        <f t="shared" si="3"/>
        <v>148</v>
      </c>
    </row>
    <row r="150" spans="1:17" ht="15" customHeight="1" x14ac:dyDescent="0.25">
      <c r="A150" s="156" t="s">
        <v>197</v>
      </c>
      <c r="B150" s="156"/>
      <c r="C150" s="156"/>
      <c r="D150" s="31" t="s">
        <v>89</v>
      </c>
      <c r="E150" s="18" t="s">
        <v>6</v>
      </c>
      <c r="G150" s="3">
        <f>SUM(H150:H152)</f>
        <v>0</v>
      </c>
      <c r="H150" s="3">
        <f>IF(E150="-- выберите --",0,1)</f>
        <v>0</v>
      </c>
      <c r="K150" s="4" t="str">
        <f>IF(G150=0,"Вы не предоставили данные о привлечении инвестиций - строка 151-153 вопрос №35",IF(G150=3,0,"Проверьте данные о привлечении инвестиций по всем трем периодам - строка 151-153 вопрос №35"))</f>
        <v>Вы не предоставили данные о привлечении инвестиций - строка 151-153 вопрос №35</v>
      </c>
      <c r="L150" s="1" t="e">
        <f t="shared" si="13"/>
        <v>#REF!</v>
      </c>
      <c r="M150" s="1">
        <f t="shared" si="6"/>
        <v>0</v>
      </c>
      <c r="N150" s="1">
        <v>1</v>
      </c>
      <c r="O150" s="1">
        <f t="shared" si="3"/>
        <v>149</v>
      </c>
      <c r="P150" s="168"/>
      <c r="Q150" s="168"/>
    </row>
    <row r="151" spans="1:17" ht="31.35" customHeight="1" x14ac:dyDescent="0.25">
      <c r="A151" s="156"/>
      <c r="B151" s="156"/>
      <c r="C151" s="156"/>
      <c r="D151" s="31" t="s">
        <v>46</v>
      </c>
      <c r="E151" s="18" t="s">
        <v>6</v>
      </c>
      <c r="H151" s="3">
        <f>IF(E151="-- выберите --",0,1)</f>
        <v>0</v>
      </c>
      <c r="L151" s="1" t="e">
        <f t="shared" si="13"/>
        <v>#REF!</v>
      </c>
      <c r="M151" s="1">
        <f t="shared" si="6"/>
        <v>1</v>
      </c>
      <c r="N151" s="1">
        <v>1</v>
      </c>
      <c r="O151" s="1" t="str">
        <f t="shared" si="3"/>
        <v/>
      </c>
      <c r="P151" s="168"/>
      <c r="Q151" s="168"/>
    </row>
    <row r="152" spans="1:17" x14ac:dyDescent="0.25">
      <c r="A152" s="156"/>
      <c r="B152" s="156"/>
      <c r="C152" s="156"/>
      <c r="D152" s="31" t="s">
        <v>91</v>
      </c>
      <c r="E152" s="18" t="s">
        <v>6</v>
      </c>
      <c r="H152" s="3">
        <f>IF(E152="-- выберите --",0,1)</f>
        <v>0</v>
      </c>
      <c r="L152" s="1" t="e">
        <f t="shared" si="13"/>
        <v>#REF!</v>
      </c>
      <c r="M152" s="1">
        <f t="shared" si="6"/>
        <v>1</v>
      </c>
      <c r="N152" s="1">
        <v>1</v>
      </c>
      <c r="O152" s="1" t="str">
        <f t="shared" si="3"/>
        <v/>
      </c>
    </row>
    <row r="153" spans="1:17" x14ac:dyDescent="0.25">
      <c r="A153" s="161" t="s">
        <v>198</v>
      </c>
      <c r="B153" s="161"/>
      <c r="C153" s="161"/>
      <c r="D153" s="161"/>
      <c r="E153" s="161"/>
      <c r="L153" s="1" t="e">
        <f t="shared" si="13"/>
        <v>#REF!</v>
      </c>
      <c r="M153" s="1">
        <f t="shared" si="6"/>
        <v>1</v>
      </c>
      <c r="N153" s="1">
        <v>1</v>
      </c>
      <c r="O153" s="1" t="str">
        <f t="shared" si="3"/>
        <v/>
      </c>
    </row>
    <row r="154" spans="1:17" ht="31.5" customHeight="1" x14ac:dyDescent="0.25">
      <c r="A154" s="156" t="s">
        <v>199</v>
      </c>
      <c r="B154" s="156"/>
      <c r="C154" s="156"/>
      <c r="D154" s="156"/>
      <c r="E154" s="25" t="s">
        <v>162</v>
      </c>
      <c r="K154" s="4" t="str">
        <f>IF(E154="___%","Вы не указали % долю экспорта в общей выручке- строка 155 вопрос №36",0)</f>
        <v>Вы не указали % долю экспорта в общей выручке- строка 155 вопрос №36</v>
      </c>
      <c r="L154" s="1" t="e">
        <f t="shared" si="13"/>
        <v>#REF!</v>
      </c>
      <c r="M154" s="1">
        <f t="shared" si="6"/>
        <v>0</v>
      </c>
      <c r="N154" s="1">
        <v>1</v>
      </c>
      <c r="O154" s="1">
        <f t="shared" si="3"/>
        <v>153</v>
      </c>
    </row>
    <row r="155" spans="1:17" ht="44.1" customHeight="1" x14ac:dyDescent="0.25">
      <c r="A155" s="156" t="s">
        <v>200</v>
      </c>
      <c r="B155" s="156"/>
      <c r="C155" s="156"/>
      <c r="D155" s="18" t="s">
        <v>6</v>
      </c>
      <c r="E155" s="25" t="s">
        <v>162</v>
      </c>
      <c r="G155" s="3">
        <f>IF(D155="увеличение",1,IF(D155="уменьшение",1,0))</f>
        <v>0</v>
      </c>
      <c r="H155" s="3">
        <f>IF(D155="-- выберите --",0,IF(G155=1,1,2))</f>
        <v>0</v>
      </c>
      <c r="I155" s="1">
        <f>IF(E155="___%",0,IF(E155=0,0,IF(E155=" ",0,1)))</f>
        <v>0</v>
      </c>
      <c r="K155" s="4" t="str">
        <f>IF(H155=0,"Вы не указали тенденцию изменения объема экспорта в 2017 году - строка 156 вопрос №37",IF(H155=1,IF(I155=0,"Вы не указали % изменения объема экспорта в 2017 году - строка 156 вопрос №37",0),0))</f>
        <v>Вы не указали тенденцию изменения объема экспорта в 2017 году - строка 156 вопрос №37</v>
      </c>
      <c r="L155" s="1" t="e">
        <f t="shared" si="13"/>
        <v>#REF!</v>
      </c>
      <c r="M155" s="1">
        <f t="shared" si="6"/>
        <v>0</v>
      </c>
      <c r="N155" s="1">
        <v>1</v>
      </c>
      <c r="O155" s="1">
        <f t="shared" si="3"/>
        <v>154</v>
      </c>
    </row>
    <row r="156" spans="1:17" ht="31.5" customHeight="1" x14ac:dyDescent="0.25">
      <c r="A156" s="156" t="s">
        <v>201</v>
      </c>
      <c r="B156" s="156"/>
      <c r="C156" s="156"/>
      <c r="D156" s="18" t="s">
        <v>6</v>
      </c>
      <c r="E156" s="25" t="s">
        <v>162</v>
      </c>
      <c r="G156" s="3">
        <f>IF(D156="увеличение",1,IF(D156="уменьшение",1,0))</f>
        <v>0</v>
      </c>
      <c r="H156" s="3">
        <f>IF(D156="-- выберите --",0,IF(G156=1,1,2))</f>
        <v>0</v>
      </c>
      <c r="I156" s="1">
        <f>IF(E156="___%",0,IF(E156=0,0,IF(E156=" ",0,1)))</f>
        <v>0</v>
      </c>
      <c r="K156" s="4" t="str">
        <f>IF(H156=0,"Вы не указали тенденцию изменения объема экспорта в 2018 году - строка 157 вопрос №38",IF(H156=1,IF(I156=0,"Вы не указали % изменения объема экспорта в 2018 году -строка 157 вопрос №38",0),0))</f>
        <v>Вы не указали тенденцию изменения объема экспорта в 2018 году - строка 157 вопрос №38</v>
      </c>
      <c r="L156" s="1" t="e">
        <f t="shared" si="13"/>
        <v>#REF!</v>
      </c>
      <c r="M156" s="1">
        <f t="shared" si="6"/>
        <v>0</v>
      </c>
      <c r="N156" s="1">
        <v>1</v>
      </c>
      <c r="O156" s="1">
        <f t="shared" si="3"/>
        <v>155</v>
      </c>
    </row>
    <row r="157" spans="1:17" ht="29.1" customHeight="1" x14ac:dyDescent="0.25">
      <c r="A157" s="156" t="s">
        <v>202</v>
      </c>
      <c r="B157" s="166" t="s">
        <v>203</v>
      </c>
      <c r="C157" s="166"/>
      <c r="D157" s="166"/>
      <c r="E157" s="25" t="s">
        <v>162</v>
      </c>
      <c r="G157" s="3">
        <f>IF(E159="___%",0,IF(E159&lt;1,1,2))</f>
        <v>0</v>
      </c>
      <c r="H157" s="3" t="str">
        <f>IF(G157=1,E159*100,E159)</f>
        <v>___%</v>
      </c>
      <c r="L157" s="1" t="e">
        <f t="shared" si="13"/>
        <v>#REF!</v>
      </c>
      <c r="M157" s="1">
        <f t="shared" si="6"/>
        <v>1</v>
      </c>
      <c r="N157" s="1">
        <v>1</v>
      </c>
      <c r="O157" s="1" t="str">
        <f t="shared" si="3"/>
        <v/>
      </c>
    </row>
    <row r="158" spans="1:17" ht="15" customHeight="1" x14ac:dyDescent="0.25">
      <c r="A158" s="156"/>
      <c r="B158" s="166" t="s">
        <v>204</v>
      </c>
      <c r="C158" s="166"/>
      <c r="D158" s="166"/>
      <c r="E158" s="25" t="s">
        <v>162</v>
      </c>
      <c r="G158" s="3">
        <f>IF(E158="___%",0,IF(E158&lt;1,1,2))</f>
        <v>0</v>
      </c>
      <c r="H158" s="3" t="str">
        <f>IF(G158=1,E158*100,E158)</f>
        <v>___%</v>
      </c>
      <c r="L158" s="1" t="e">
        <f t="shared" si="13"/>
        <v>#REF!</v>
      </c>
      <c r="M158" s="1">
        <f t="shared" si="6"/>
        <v>1</v>
      </c>
      <c r="N158" s="1">
        <v>1</v>
      </c>
      <c r="O158" s="1" t="str">
        <f t="shared" si="3"/>
        <v/>
      </c>
    </row>
    <row r="159" spans="1:17" ht="42.6" customHeight="1" x14ac:dyDescent="0.25">
      <c r="A159" s="156"/>
      <c r="B159" s="167" t="s">
        <v>205</v>
      </c>
      <c r="C159" s="167"/>
      <c r="D159" s="167"/>
      <c r="E159" s="25" t="s">
        <v>162</v>
      </c>
      <c r="G159" s="3">
        <f>IF(E159="___%",0,IF(E159&lt;1,1,2))</f>
        <v>0</v>
      </c>
      <c r="H159" s="3" t="str">
        <f>IF(G159=1,E159*100,E159)</f>
        <v>___%</v>
      </c>
      <c r="L159" s="1" t="e">
        <f t="shared" si="13"/>
        <v>#REF!</v>
      </c>
      <c r="M159" s="1">
        <f t="shared" si="6"/>
        <v>1</v>
      </c>
      <c r="N159" s="1">
        <v>1</v>
      </c>
      <c r="O159" s="1" t="str">
        <f t="shared" si="3"/>
        <v/>
      </c>
    </row>
    <row r="160" spans="1:17" ht="28.35" customHeight="1" x14ac:dyDescent="0.25">
      <c r="A160" s="156"/>
      <c r="B160" s="166" t="s">
        <v>206</v>
      </c>
      <c r="C160" s="166"/>
      <c r="D160" s="166"/>
      <c r="E160" s="25" t="s">
        <v>162</v>
      </c>
      <c r="G160" s="3">
        <f>IF(E160="___%",0,IF(E160&lt;1,1,2))</f>
        <v>0</v>
      </c>
      <c r="H160" s="3" t="str">
        <f>IF(G160=1,E160*100,E160)</f>
        <v>___%</v>
      </c>
      <c r="L160" s="1" t="e">
        <f t="shared" si="13"/>
        <v>#REF!</v>
      </c>
      <c r="M160" s="1">
        <f t="shared" si="6"/>
        <v>1</v>
      </c>
      <c r="N160" s="1">
        <v>1</v>
      </c>
      <c r="O160" s="1" t="str">
        <f t="shared" si="3"/>
        <v/>
      </c>
    </row>
    <row r="161" spans="1:15" ht="15" customHeight="1" x14ac:dyDescent="0.25">
      <c r="A161" s="156"/>
      <c r="B161" s="167" t="s">
        <v>207</v>
      </c>
      <c r="C161" s="167"/>
      <c r="D161" s="167"/>
      <c r="E161" s="25" t="s">
        <v>162</v>
      </c>
      <c r="G161" s="3">
        <f>IF(E161="___%",0,IF(E161&lt;1,1,2))</f>
        <v>0</v>
      </c>
      <c r="H161" s="3" t="str">
        <f>IF(G161=1,E161*100,E161)</f>
        <v>___%</v>
      </c>
      <c r="L161" s="1" t="e">
        <f t="shared" si="13"/>
        <v>#REF!</v>
      </c>
      <c r="M161" s="1">
        <f t="shared" si="6"/>
        <v>1</v>
      </c>
      <c r="N161" s="1">
        <v>1</v>
      </c>
      <c r="O161" s="1" t="str">
        <f t="shared" si="3"/>
        <v/>
      </c>
    </row>
    <row r="162" spans="1:15" ht="15" customHeight="1" x14ac:dyDescent="0.25">
      <c r="A162" s="156"/>
      <c r="B162" s="166" t="s">
        <v>208</v>
      </c>
      <c r="C162" s="166"/>
      <c r="D162" s="166"/>
      <c r="E162" s="25" t="s">
        <v>162</v>
      </c>
      <c r="G162" s="3">
        <f>IF(E162="___%",0,IF(E162&lt;1,1,2))</f>
        <v>0</v>
      </c>
      <c r="H162" s="3" t="str">
        <f>IF(G162=1,E162*100,E162)</f>
        <v>___%</v>
      </c>
      <c r="L162" s="1" t="e">
        <f t="shared" si="13"/>
        <v>#REF!</v>
      </c>
      <c r="M162" s="1">
        <f t="shared" si="6"/>
        <v>1</v>
      </c>
      <c r="N162" s="1">
        <v>1</v>
      </c>
      <c r="O162" s="1" t="str">
        <f t="shared" si="3"/>
        <v/>
      </c>
    </row>
    <row r="163" spans="1:15" ht="15" customHeight="1" x14ac:dyDescent="0.25">
      <c r="A163" s="156"/>
      <c r="B163" s="32" t="s">
        <v>209</v>
      </c>
      <c r="C163" s="165"/>
      <c r="D163" s="165"/>
      <c r="E163" s="25" t="s">
        <v>162</v>
      </c>
      <c r="G163" s="3">
        <f>C163</f>
        <v>0</v>
      </c>
      <c r="K163" s="4" t="str">
        <f>IF(E163=1,IF(G163=0,"Вы не предоставили данные о структуре экспорта - строка 158-164 вопрос №49",0),IF(E163&gt;0.49,"Укажите наименование показателя строка 164",IF(E163&lt;0,"Проверьте правильность показателей строка 158-164 вопрос №39",0)))</f>
        <v>Укажите наименование показателя строка 164</v>
      </c>
      <c r="L163" s="1" t="e">
        <f t="shared" si="13"/>
        <v>#REF!</v>
      </c>
      <c r="M163" s="1">
        <f t="shared" si="6"/>
        <v>0</v>
      </c>
      <c r="N163" s="1">
        <v>1</v>
      </c>
      <c r="O163" s="1">
        <f t="shared" si="3"/>
        <v>162</v>
      </c>
    </row>
    <row r="164" spans="1:15" ht="20.100000000000001" customHeight="1" x14ac:dyDescent="0.25">
      <c r="A164" s="161" t="s">
        <v>210</v>
      </c>
      <c r="B164" s="161"/>
      <c r="C164" s="161"/>
      <c r="D164" s="161"/>
      <c r="E164" s="161"/>
      <c r="L164" s="1" t="e">
        <f t="shared" si="13"/>
        <v>#REF!</v>
      </c>
      <c r="M164" s="1">
        <f t="shared" si="6"/>
        <v>1</v>
      </c>
      <c r="N164" s="1">
        <v>1</v>
      </c>
      <c r="O164" s="1" t="str">
        <f t="shared" si="3"/>
        <v/>
      </c>
    </row>
    <row r="165" spans="1:15" ht="29.85" customHeight="1" x14ac:dyDescent="0.25">
      <c r="A165" s="156" t="s">
        <v>211</v>
      </c>
      <c r="B165" s="166" t="s">
        <v>203</v>
      </c>
      <c r="C165" s="166"/>
      <c r="D165" s="166"/>
      <c r="E165" s="25" t="s">
        <v>162</v>
      </c>
      <c r="G165" s="3">
        <f t="shared" ref="G165:G170" si="23">IF(E165="___%",0,IF(E165&lt;1,1,2))</f>
        <v>0</v>
      </c>
      <c r="H165" s="3" t="str">
        <f t="shared" ref="H165:H170" si="24">IF(G165=1,E165*100,E165)</f>
        <v>___%</v>
      </c>
      <c r="L165" s="1" t="e">
        <f t="shared" si="13"/>
        <v>#REF!</v>
      </c>
      <c r="M165" s="1">
        <f t="shared" si="6"/>
        <v>1</v>
      </c>
      <c r="N165" s="1">
        <v>1</v>
      </c>
      <c r="O165" s="1" t="str">
        <f t="shared" si="3"/>
        <v/>
      </c>
    </row>
    <row r="166" spans="1:15" ht="18" customHeight="1" x14ac:dyDescent="0.25">
      <c r="A166" s="156"/>
      <c r="B166" s="166" t="s">
        <v>204</v>
      </c>
      <c r="C166" s="166"/>
      <c r="D166" s="166"/>
      <c r="E166" s="25" t="s">
        <v>162</v>
      </c>
      <c r="G166" s="3">
        <f t="shared" si="23"/>
        <v>0</v>
      </c>
      <c r="H166" s="3" t="str">
        <f t="shared" si="24"/>
        <v>___%</v>
      </c>
      <c r="L166" s="1" t="e">
        <f t="shared" si="13"/>
        <v>#REF!</v>
      </c>
      <c r="M166" s="1">
        <f t="shared" si="6"/>
        <v>1</v>
      </c>
      <c r="N166" s="1">
        <v>1</v>
      </c>
      <c r="O166" s="1" t="str">
        <f t="shared" si="3"/>
        <v/>
      </c>
    </row>
    <row r="167" spans="1:15" ht="41.85" customHeight="1" x14ac:dyDescent="0.25">
      <c r="A167" s="156"/>
      <c r="B167" s="167" t="s">
        <v>205</v>
      </c>
      <c r="C167" s="167"/>
      <c r="D167" s="167"/>
      <c r="E167" s="25" t="s">
        <v>162</v>
      </c>
      <c r="G167" s="3">
        <f t="shared" si="23"/>
        <v>0</v>
      </c>
      <c r="H167" s="3" t="str">
        <f t="shared" si="24"/>
        <v>___%</v>
      </c>
      <c r="L167" s="1" t="e">
        <f t="shared" si="13"/>
        <v>#REF!</v>
      </c>
      <c r="M167" s="1">
        <f t="shared" si="6"/>
        <v>1</v>
      </c>
      <c r="N167" s="1">
        <v>1</v>
      </c>
      <c r="O167" s="1" t="str">
        <f t="shared" si="3"/>
        <v/>
      </c>
    </row>
    <row r="168" spans="1:15" ht="28.35" customHeight="1" x14ac:dyDescent="0.25">
      <c r="A168" s="156"/>
      <c r="B168" s="166" t="s">
        <v>206</v>
      </c>
      <c r="C168" s="166"/>
      <c r="D168" s="166"/>
      <c r="E168" s="25" t="s">
        <v>162</v>
      </c>
      <c r="G168" s="3">
        <f t="shared" si="23"/>
        <v>0</v>
      </c>
      <c r="H168" s="3" t="str">
        <f t="shared" si="24"/>
        <v>___%</v>
      </c>
      <c r="L168" s="1" t="e">
        <f t="shared" si="13"/>
        <v>#REF!</v>
      </c>
      <c r="M168" s="1">
        <f t="shared" si="6"/>
        <v>1</v>
      </c>
      <c r="N168" s="1">
        <v>1</v>
      </c>
      <c r="O168" s="1" t="str">
        <f t="shared" si="3"/>
        <v/>
      </c>
    </row>
    <row r="169" spans="1:15" ht="15" customHeight="1" x14ac:dyDescent="0.25">
      <c r="A169" s="156"/>
      <c r="B169" s="167" t="s">
        <v>207</v>
      </c>
      <c r="C169" s="167"/>
      <c r="D169" s="167"/>
      <c r="E169" s="25" t="s">
        <v>162</v>
      </c>
      <c r="G169" s="3">
        <f t="shared" si="23"/>
        <v>0</v>
      </c>
      <c r="H169" s="3" t="str">
        <f t="shared" si="24"/>
        <v>___%</v>
      </c>
      <c r="L169" s="1" t="e">
        <f t="shared" si="13"/>
        <v>#REF!</v>
      </c>
      <c r="M169" s="1">
        <f t="shared" si="6"/>
        <v>1</v>
      </c>
      <c r="N169" s="1">
        <v>1</v>
      </c>
      <c r="O169" s="1" t="str">
        <f t="shared" si="3"/>
        <v/>
      </c>
    </row>
    <row r="170" spans="1:15" ht="15" customHeight="1" x14ac:dyDescent="0.25">
      <c r="A170" s="156"/>
      <c r="B170" s="166" t="s">
        <v>208</v>
      </c>
      <c r="C170" s="166"/>
      <c r="D170" s="166"/>
      <c r="E170" s="25" t="s">
        <v>162</v>
      </c>
      <c r="G170" s="3">
        <f t="shared" si="23"/>
        <v>0</v>
      </c>
      <c r="H170" s="3" t="str">
        <f t="shared" si="24"/>
        <v>___%</v>
      </c>
      <c r="L170" s="1" t="e">
        <f t="shared" si="13"/>
        <v>#REF!</v>
      </c>
      <c r="M170" s="1">
        <f t="shared" si="6"/>
        <v>1</v>
      </c>
      <c r="N170" s="1">
        <v>1</v>
      </c>
      <c r="O170" s="1" t="str">
        <f t="shared" si="3"/>
        <v/>
      </c>
    </row>
    <row r="171" spans="1:15" ht="15" customHeight="1" x14ac:dyDescent="0.25">
      <c r="A171" s="156"/>
      <c r="B171" s="32" t="s">
        <v>209</v>
      </c>
      <c r="C171" s="159"/>
      <c r="D171" s="159"/>
      <c r="E171" s="25" t="s">
        <v>162</v>
      </c>
      <c r="G171" s="3">
        <f>C171</f>
        <v>0</v>
      </c>
      <c r="K171" s="4" t="str">
        <f>IF(E171=1,IF(G171=0,"Вы не предоставили данные о структуре дохода - строка 166-172 вопрос №40",0),IF(E171&gt;0.49,"Укажите наименование показателя строка 172",IF(E171&lt;0,"Проверьте правильность показателей строка 166-172 вопрос №40",0)))</f>
        <v>Укажите наименование показателя строка 172</v>
      </c>
      <c r="L171" s="1" t="e">
        <f t="shared" si="13"/>
        <v>#REF!</v>
      </c>
      <c r="M171" s="1">
        <f t="shared" si="6"/>
        <v>0</v>
      </c>
      <c r="N171" s="1">
        <v>1</v>
      </c>
      <c r="O171" s="1">
        <f t="shared" si="3"/>
        <v>170</v>
      </c>
    </row>
    <row r="172" spans="1:15" x14ac:dyDescent="0.25">
      <c r="A172" s="161" t="s">
        <v>212</v>
      </c>
      <c r="B172" s="161"/>
      <c r="C172" s="161"/>
      <c r="D172" s="161"/>
      <c r="E172" s="161"/>
      <c r="L172" s="1" t="e">
        <f t="shared" si="13"/>
        <v>#REF!</v>
      </c>
      <c r="M172" s="1">
        <f t="shared" si="6"/>
        <v>1</v>
      </c>
      <c r="N172" s="1">
        <v>1</v>
      </c>
      <c r="O172" s="1" t="str">
        <f t="shared" si="3"/>
        <v/>
      </c>
    </row>
    <row r="173" spans="1:15" ht="15" customHeight="1" x14ac:dyDescent="0.25">
      <c r="A173" s="156" t="s">
        <v>213</v>
      </c>
      <c r="B173" s="156"/>
      <c r="C173" s="33" t="s">
        <v>214</v>
      </c>
      <c r="D173" s="162" t="s">
        <v>6</v>
      </c>
      <c r="E173" s="162"/>
      <c r="K173" s="4" t="str">
        <f>IF(D173=F175,"Вы не выбрали приоритетную задачу компании -  строка 174 вопрос №41",0)</f>
        <v>Вы не выбрали приоритетную задачу компании -  строка 174 вопрос №41</v>
      </c>
      <c r="L173" s="1" t="e">
        <f t="shared" si="13"/>
        <v>#REF!</v>
      </c>
      <c r="M173" s="1">
        <f t="shared" si="6"/>
        <v>0</v>
      </c>
      <c r="N173" s="1">
        <v>1</v>
      </c>
      <c r="O173" s="1">
        <f t="shared" si="3"/>
        <v>172</v>
      </c>
    </row>
    <row r="174" spans="1:15" x14ac:dyDescent="0.25">
      <c r="A174" s="156"/>
      <c r="B174" s="156"/>
      <c r="C174" s="163" t="s">
        <v>215</v>
      </c>
      <c r="D174" s="163"/>
      <c r="E174" s="163"/>
      <c r="L174" s="1" t="e">
        <f t="shared" si="13"/>
        <v>#REF!</v>
      </c>
      <c r="M174" s="1">
        <f t="shared" si="6"/>
        <v>1</v>
      </c>
      <c r="N174" s="1">
        <v>1</v>
      </c>
      <c r="O174" s="1" t="str">
        <f t="shared" si="3"/>
        <v/>
      </c>
    </row>
    <row r="175" spans="1:15" ht="15" customHeight="1" x14ac:dyDescent="0.25">
      <c r="A175" s="156"/>
      <c r="B175" s="156"/>
      <c r="C175" s="164" t="s">
        <v>216</v>
      </c>
      <c r="D175" s="164"/>
      <c r="E175" s="18" t="s">
        <v>6</v>
      </c>
      <c r="F175" s="6" t="s">
        <v>6</v>
      </c>
      <c r="G175" s="3">
        <f>SUM(H175:H180)</f>
        <v>0</v>
      </c>
      <c r="H175" s="3">
        <f t="shared" ref="H175:H180" si="25">IF(E175="-- выберите --",0,1)</f>
        <v>0</v>
      </c>
      <c r="K175" s="4" t="str">
        <f>IF(G175=0,"Вы не указали задачи компании -  строка 176-181 вопрос №41",0)</f>
        <v>Вы не указали задачи компании -  строка 176-181 вопрос №41</v>
      </c>
      <c r="L175" s="1" t="e">
        <f t="shared" si="13"/>
        <v>#REF!</v>
      </c>
      <c r="M175" s="1">
        <f t="shared" si="6"/>
        <v>0</v>
      </c>
      <c r="N175" s="1">
        <v>1</v>
      </c>
      <c r="O175" s="1">
        <f t="shared" si="3"/>
        <v>174</v>
      </c>
    </row>
    <row r="176" spans="1:15" ht="15" customHeight="1" x14ac:dyDescent="0.25">
      <c r="A176" s="156"/>
      <c r="B176" s="156"/>
      <c r="C176" s="164" t="s">
        <v>217</v>
      </c>
      <c r="D176" s="164"/>
      <c r="E176" s="18" t="s">
        <v>6</v>
      </c>
      <c r="F176" s="6" t="str">
        <f>C175</f>
        <v>Более активная работа на внутреннем рынке</v>
      </c>
      <c r="H176" s="3">
        <f t="shared" si="25"/>
        <v>0</v>
      </c>
      <c r="L176" s="1" t="e">
        <f t="shared" si="13"/>
        <v>#REF!</v>
      </c>
      <c r="M176" s="1">
        <f t="shared" si="6"/>
        <v>1</v>
      </c>
      <c r="N176" s="1">
        <v>1</v>
      </c>
      <c r="O176" s="1" t="str">
        <f t="shared" si="3"/>
        <v/>
      </c>
    </row>
    <row r="177" spans="1:15" ht="15" customHeight="1" x14ac:dyDescent="0.25">
      <c r="A177" s="156"/>
      <c r="B177" s="156"/>
      <c r="C177" s="164" t="s">
        <v>218</v>
      </c>
      <c r="D177" s="164"/>
      <c r="E177" s="18" t="s">
        <v>6</v>
      </c>
      <c r="F177" s="6" t="str">
        <f>C176</f>
        <v>Расширение продаж за рубежом</v>
      </c>
      <c r="H177" s="3">
        <f t="shared" si="25"/>
        <v>0</v>
      </c>
      <c r="L177" s="1" t="e">
        <f t="shared" si="13"/>
        <v>#REF!</v>
      </c>
      <c r="M177" s="1">
        <f t="shared" si="6"/>
        <v>1</v>
      </c>
      <c r="N177" s="1">
        <v>1</v>
      </c>
      <c r="O177" s="1" t="str">
        <f t="shared" si="3"/>
        <v/>
      </c>
    </row>
    <row r="178" spans="1:15" ht="15" customHeight="1" x14ac:dyDescent="0.25">
      <c r="A178" s="156"/>
      <c r="B178" s="156"/>
      <c r="C178" s="164" t="s">
        <v>219</v>
      </c>
      <c r="D178" s="164"/>
      <c r="E178" s="18" t="s">
        <v>6</v>
      </c>
      <c r="F178" s="6" t="str">
        <f>C177</f>
        <v>Создание центров разработки в регионах</v>
      </c>
      <c r="H178" s="3">
        <f t="shared" si="25"/>
        <v>0</v>
      </c>
      <c r="L178" s="1" t="e">
        <f t="shared" si="13"/>
        <v>#REF!</v>
      </c>
      <c r="M178" s="1">
        <f t="shared" si="6"/>
        <v>1</v>
      </c>
      <c r="N178" s="1">
        <v>1</v>
      </c>
      <c r="O178" s="1" t="str">
        <f t="shared" si="3"/>
        <v/>
      </c>
    </row>
    <row r="179" spans="1:15" ht="15" customHeight="1" x14ac:dyDescent="0.25">
      <c r="A179" s="156"/>
      <c r="B179" s="156"/>
      <c r="C179" s="164" t="s">
        <v>220</v>
      </c>
      <c r="D179" s="164"/>
      <c r="E179" s="18" t="s">
        <v>6</v>
      </c>
      <c r="F179" s="6" t="str">
        <f>C178</f>
        <v>Увеличение доли продаж через Интернет</v>
      </c>
      <c r="H179" s="3">
        <f t="shared" si="25"/>
        <v>0</v>
      </c>
      <c r="L179" s="1" t="e">
        <f t="shared" si="13"/>
        <v>#REF!</v>
      </c>
      <c r="M179" s="1">
        <f t="shared" si="6"/>
        <v>1</v>
      </c>
      <c r="N179" s="1">
        <v>1</v>
      </c>
      <c r="O179" s="1" t="str">
        <f t="shared" si="3"/>
        <v/>
      </c>
    </row>
    <row r="180" spans="1:15" x14ac:dyDescent="0.25">
      <c r="A180" s="156"/>
      <c r="B180" s="156"/>
      <c r="C180" s="22" t="s">
        <v>38</v>
      </c>
      <c r="D180" s="23"/>
      <c r="E180" s="18" t="s">
        <v>6</v>
      </c>
      <c r="F180" s="6" t="str">
        <f>C179</f>
        <v>Сертификация процессов разработки ПО</v>
      </c>
      <c r="H180" s="3">
        <f t="shared" si="25"/>
        <v>0</v>
      </c>
      <c r="K180" s="4">
        <f>IF(D180=0,IF(H180=0,0,"Вы указали -ДА- в графе -ДРУГОЕ-, укажите задачу в строке 181"),0)</f>
        <v>0</v>
      </c>
      <c r="L180" s="1" t="e">
        <f t="shared" si="13"/>
        <v>#REF!</v>
      </c>
      <c r="M180" s="1">
        <f t="shared" si="6"/>
        <v>1</v>
      </c>
      <c r="N180" s="1">
        <v>1</v>
      </c>
      <c r="O180" s="1" t="str">
        <f t="shared" si="3"/>
        <v/>
      </c>
    </row>
    <row r="181" spans="1:15" x14ac:dyDescent="0.25">
      <c r="A181" s="161" t="s">
        <v>221</v>
      </c>
      <c r="B181" s="161"/>
      <c r="C181" s="161"/>
      <c r="D181" s="161"/>
      <c r="E181" s="161"/>
      <c r="F181" s="6" t="str">
        <f>IF(D180=0," ",D180)</f>
        <v xml:space="preserve"> </v>
      </c>
      <c r="L181" s="1" t="e">
        <f t="shared" si="13"/>
        <v>#REF!</v>
      </c>
      <c r="M181" s="1">
        <f t="shared" si="6"/>
        <v>1</v>
      </c>
      <c r="N181" s="1">
        <v>1</v>
      </c>
      <c r="O181" s="1" t="str">
        <f t="shared" si="3"/>
        <v/>
      </c>
    </row>
    <row r="182" spans="1:15" ht="30" customHeight="1" x14ac:dyDescent="0.25">
      <c r="A182" s="156" t="s">
        <v>222</v>
      </c>
      <c r="B182" s="156"/>
      <c r="C182" s="156"/>
      <c r="D182" s="156"/>
      <c r="E182" s="34" t="s">
        <v>6</v>
      </c>
      <c r="K182" s="4" t="str">
        <f>IF(E182=F175,"Вы не указали,как изменилась гос.поддержка  - строка 183 вопрос №42",0)</f>
        <v>Вы не указали,как изменилась гос.поддержка  - строка 183 вопрос №42</v>
      </c>
      <c r="L182" s="1" t="e">
        <f t="shared" si="13"/>
        <v>#REF!</v>
      </c>
      <c r="M182" s="1">
        <f t="shared" si="6"/>
        <v>0</v>
      </c>
      <c r="N182" s="1">
        <v>1</v>
      </c>
      <c r="O182" s="1">
        <f t="shared" si="3"/>
        <v>181</v>
      </c>
    </row>
    <row r="183" spans="1:15" ht="28.5" customHeight="1" x14ac:dyDescent="0.25">
      <c r="A183" s="156" t="s">
        <v>223</v>
      </c>
      <c r="B183" s="156"/>
      <c r="C183" s="156"/>
      <c r="D183" s="156"/>
      <c r="E183" s="34" t="s">
        <v>6</v>
      </c>
      <c r="K183" s="4" t="str">
        <f>IF(E183=F175,"Вы не указали,как изменилась  ситуация в сфере защиты прав собственности  - строка 184 вопрос №43",0)</f>
        <v>Вы не указали,как изменилась  ситуация в сфере защиты прав собственности  - строка 184 вопрос №43</v>
      </c>
      <c r="L183" s="1" t="e">
        <f t="shared" si="13"/>
        <v>#REF!</v>
      </c>
      <c r="M183" s="1">
        <f t="shared" si="6"/>
        <v>0</v>
      </c>
      <c r="N183" s="1">
        <v>1</v>
      </c>
      <c r="O183" s="1">
        <f t="shared" si="3"/>
        <v>182</v>
      </c>
    </row>
    <row r="184" spans="1:15" ht="46.35" customHeight="1" x14ac:dyDescent="0.25">
      <c r="A184" s="156" t="s">
        <v>224</v>
      </c>
      <c r="B184" s="156"/>
      <c r="C184" s="156"/>
      <c r="D184" s="156"/>
      <c r="E184" s="34" t="s">
        <v>6</v>
      </c>
      <c r="F184" s="2" t="s">
        <v>6</v>
      </c>
      <c r="K184" s="4" t="str">
        <f>IF(E184=F175,"Вы не оценили деятельность местных органов власти, направленную на поддержку ИТ-отрасли  - строка 185 вопрос №44",0)</f>
        <v>Вы не оценили деятельность местных органов власти, направленную на поддержку ИТ-отрасли  - строка 185 вопрос №44</v>
      </c>
      <c r="L184" s="1" t="e">
        <f t="shared" si="13"/>
        <v>#REF!</v>
      </c>
      <c r="M184" s="1">
        <f t="shared" si="6"/>
        <v>0</v>
      </c>
      <c r="N184" s="1">
        <v>1</v>
      </c>
      <c r="O184" s="1">
        <f t="shared" si="3"/>
        <v>183</v>
      </c>
    </row>
    <row r="185" spans="1:15" ht="30" customHeight="1" x14ac:dyDescent="0.25">
      <c r="A185" s="156" t="s">
        <v>225</v>
      </c>
      <c r="B185" s="155" t="s">
        <v>226</v>
      </c>
      <c r="C185" s="155"/>
      <c r="D185" s="155"/>
      <c r="E185" s="35" t="s">
        <v>6</v>
      </c>
      <c r="F185" s="6" t="s">
        <v>227</v>
      </c>
      <c r="G185" s="3">
        <f>SUM(H185:H192)</f>
        <v>0</v>
      </c>
      <c r="H185" s="3">
        <f t="shared" ref="H185:H199" si="26">IF(E185="-- выберите --",0,1)</f>
        <v>0</v>
      </c>
      <c r="K185" s="4" t="str">
        <f>IF(G185=8,0,"Оцените, пожалуйста, Все показатели  - строка 186-193 вопрос №45")</f>
        <v>Оцените, пожалуйста, Все показатели  - строка 186-193 вопрос №45</v>
      </c>
      <c r="L185" s="1" t="e">
        <f t="shared" si="13"/>
        <v>#REF!</v>
      </c>
      <c r="M185" s="1">
        <f t="shared" si="6"/>
        <v>0</v>
      </c>
      <c r="N185" s="1">
        <v>1</v>
      </c>
      <c r="O185" s="1">
        <f t="shared" si="3"/>
        <v>184</v>
      </c>
    </row>
    <row r="186" spans="1:15" ht="12.75" customHeight="1" x14ac:dyDescent="0.25">
      <c r="A186" s="156"/>
      <c r="B186" s="155" t="s">
        <v>228</v>
      </c>
      <c r="C186" s="155"/>
      <c r="D186" s="155"/>
      <c r="E186" s="35" t="s">
        <v>6</v>
      </c>
      <c r="F186" s="6" t="s">
        <v>229</v>
      </c>
      <c r="H186" s="3">
        <f t="shared" si="26"/>
        <v>0</v>
      </c>
      <c r="L186" s="1" t="e">
        <f t="shared" si="13"/>
        <v>#REF!</v>
      </c>
      <c r="M186" s="1">
        <f t="shared" si="6"/>
        <v>1</v>
      </c>
      <c r="N186" s="1">
        <v>1</v>
      </c>
      <c r="O186" s="1" t="str">
        <f t="shared" si="3"/>
        <v/>
      </c>
    </row>
    <row r="187" spans="1:15" ht="15" customHeight="1" x14ac:dyDescent="0.25">
      <c r="A187" s="156"/>
      <c r="B187" s="155" t="s">
        <v>230</v>
      </c>
      <c r="C187" s="155"/>
      <c r="D187" s="155"/>
      <c r="E187" s="35" t="s">
        <v>6</v>
      </c>
      <c r="F187" s="6" t="s">
        <v>231</v>
      </c>
      <c r="H187" s="3">
        <f t="shared" si="26"/>
        <v>0</v>
      </c>
      <c r="L187" s="1" t="e">
        <f t="shared" si="13"/>
        <v>#REF!</v>
      </c>
      <c r="M187" s="1">
        <f t="shared" si="6"/>
        <v>1</v>
      </c>
      <c r="N187" s="1">
        <v>1</v>
      </c>
      <c r="O187" s="1" t="str">
        <f t="shared" si="3"/>
        <v/>
      </c>
    </row>
    <row r="188" spans="1:15" ht="15" customHeight="1" x14ac:dyDescent="0.25">
      <c r="A188" s="156"/>
      <c r="B188" s="155" t="s">
        <v>232</v>
      </c>
      <c r="C188" s="155"/>
      <c r="D188" s="155"/>
      <c r="E188" s="35" t="s">
        <v>6</v>
      </c>
      <c r="F188" s="6" t="s">
        <v>22</v>
      </c>
      <c r="H188" s="3">
        <f t="shared" si="26"/>
        <v>0</v>
      </c>
      <c r="L188" s="1" t="e">
        <f t="shared" si="13"/>
        <v>#REF!</v>
      </c>
      <c r="M188" s="1">
        <f t="shared" si="6"/>
        <v>1</v>
      </c>
      <c r="N188" s="1">
        <v>1</v>
      </c>
      <c r="O188" s="1" t="str">
        <f t="shared" si="3"/>
        <v/>
      </c>
    </row>
    <row r="189" spans="1:15" ht="12.75" customHeight="1" x14ac:dyDescent="0.25">
      <c r="A189" s="156"/>
      <c r="B189" s="155" t="s">
        <v>233</v>
      </c>
      <c r="C189" s="155"/>
      <c r="D189" s="155"/>
      <c r="E189" s="35" t="s">
        <v>6</v>
      </c>
      <c r="F189" s="6"/>
      <c r="H189" s="3">
        <f t="shared" si="26"/>
        <v>0</v>
      </c>
      <c r="L189" s="1" t="e">
        <f t="shared" si="13"/>
        <v>#REF!</v>
      </c>
      <c r="M189" s="1">
        <f t="shared" si="6"/>
        <v>1</v>
      </c>
      <c r="N189" s="1">
        <v>1</v>
      </c>
      <c r="O189" s="1" t="str">
        <f t="shared" si="3"/>
        <v/>
      </c>
    </row>
    <row r="190" spans="1:15" ht="30" customHeight="1" x14ac:dyDescent="0.25">
      <c r="A190" s="156"/>
      <c r="B190" s="155" t="s">
        <v>234</v>
      </c>
      <c r="C190" s="155"/>
      <c r="D190" s="155"/>
      <c r="E190" s="35" t="s">
        <v>6</v>
      </c>
      <c r="F190" s="6"/>
      <c r="H190" s="3">
        <f t="shared" si="26"/>
        <v>0</v>
      </c>
      <c r="L190" s="1" t="e">
        <f t="shared" si="13"/>
        <v>#REF!</v>
      </c>
      <c r="M190" s="1">
        <f t="shared" si="6"/>
        <v>1</v>
      </c>
      <c r="N190" s="1">
        <v>1</v>
      </c>
      <c r="O190" s="1" t="str">
        <f t="shared" si="3"/>
        <v/>
      </c>
    </row>
    <row r="191" spans="1:15" ht="12.75" customHeight="1" x14ac:dyDescent="0.25">
      <c r="A191" s="156"/>
      <c r="B191" s="155" t="s">
        <v>235</v>
      </c>
      <c r="C191" s="155"/>
      <c r="D191" s="155"/>
      <c r="E191" s="35" t="s">
        <v>6</v>
      </c>
      <c r="F191" s="6"/>
      <c r="H191" s="3">
        <f t="shared" si="26"/>
        <v>0</v>
      </c>
      <c r="L191" s="1" t="e">
        <f t="shared" si="13"/>
        <v>#REF!</v>
      </c>
      <c r="M191" s="1">
        <f t="shared" si="6"/>
        <v>1</v>
      </c>
      <c r="N191" s="1">
        <v>1</v>
      </c>
      <c r="O191" s="1" t="str">
        <f t="shared" si="3"/>
        <v/>
      </c>
    </row>
    <row r="192" spans="1:15" ht="30.75" customHeight="1" x14ac:dyDescent="0.25">
      <c r="A192" s="156"/>
      <c r="B192" s="155" t="s">
        <v>236</v>
      </c>
      <c r="C192" s="155"/>
      <c r="D192" s="155"/>
      <c r="E192" s="35" t="s">
        <v>6</v>
      </c>
      <c r="F192" s="6"/>
      <c r="H192" s="3">
        <f t="shared" si="26"/>
        <v>0</v>
      </c>
      <c r="L192" s="1" t="e">
        <f t="shared" si="13"/>
        <v>#REF!</v>
      </c>
      <c r="M192" s="1">
        <f t="shared" si="6"/>
        <v>1</v>
      </c>
      <c r="N192" s="1">
        <v>1</v>
      </c>
      <c r="O192" s="1" t="str">
        <f t="shared" si="3"/>
        <v/>
      </c>
    </row>
    <row r="193" spans="1:15" ht="30.75" customHeight="1" x14ac:dyDescent="0.25">
      <c r="A193" s="156" t="s">
        <v>237</v>
      </c>
      <c r="B193" s="155" t="s">
        <v>238</v>
      </c>
      <c r="C193" s="155"/>
      <c r="D193" s="155"/>
      <c r="E193" s="35" t="s">
        <v>6</v>
      </c>
      <c r="G193" s="3">
        <f>SUM(H193:H199)</f>
        <v>0</v>
      </c>
      <c r="H193" s="3">
        <f t="shared" si="26"/>
        <v>0</v>
      </c>
      <c r="K193" s="4" t="str">
        <f>IF(G193=7,0,"Оцените, пожалуйста, Все показатели  - строка 194-201 вопрос №46")</f>
        <v>Оцените, пожалуйста, Все показатели  - строка 194-201 вопрос №46</v>
      </c>
      <c r="L193" s="1" t="e">
        <f t="shared" si="13"/>
        <v>#REF!</v>
      </c>
      <c r="M193" s="1">
        <f t="shared" si="6"/>
        <v>0</v>
      </c>
      <c r="N193" s="1">
        <v>1</v>
      </c>
      <c r="O193" s="1">
        <f t="shared" si="3"/>
        <v>192</v>
      </c>
    </row>
    <row r="194" spans="1:15" ht="12.75" customHeight="1" x14ac:dyDescent="0.25">
      <c r="A194" s="156"/>
      <c r="B194" s="155" t="s">
        <v>239</v>
      </c>
      <c r="C194" s="155"/>
      <c r="D194" s="155"/>
      <c r="E194" s="35" t="s">
        <v>6</v>
      </c>
      <c r="H194" s="3">
        <f t="shared" si="26"/>
        <v>0</v>
      </c>
      <c r="L194" s="1" t="e">
        <f t="shared" si="13"/>
        <v>#REF!</v>
      </c>
      <c r="M194" s="1">
        <f t="shared" si="6"/>
        <v>1</v>
      </c>
      <c r="N194" s="1">
        <v>1</v>
      </c>
      <c r="O194" s="1" t="str">
        <f t="shared" si="3"/>
        <v/>
      </c>
    </row>
    <row r="195" spans="1:15" ht="15" customHeight="1" x14ac:dyDescent="0.25">
      <c r="A195" s="156"/>
      <c r="B195" s="155" t="s">
        <v>240</v>
      </c>
      <c r="C195" s="155"/>
      <c r="D195" s="155"/>
      <c r="E195" s="35" t="s">
        <v>6</v>
      </c>
      <c r="H195" s="3">
        <f t="shared" si="26"/>
        <v>0</v>
      </c>
      <c r="L195" s="1" t="e">
        <f t="shared" si="13"/>
        <v>#REF!</v>
      </c>
      <c r="M195" s="1">
        <f t="shared" si="6"/>
        <v>1</v>
      </c>
      <c r="N195" s="1">
        <v>1</v>
      </c>
      <c r="O195" s="1" t="str">
        <f t="shared" si="3"/>
        <v/>
      </c>
    </row>
    <row r="196" spans="1:15" ht="15" customHeight="1" x14ac:dyDescent="0.25">
      <c r="A196" s="156"/>
      <c r="B196" s="155" t="s">
        <v>235</v>
      </c>
      <c r="C196" s="155"/>
      <c r="D196" s="155"/>
      <c r="E196" s="35" t="s">
        <v>6</v>
      </c>
      <c r="H196" s="3">
        <f t="shared" si="26"/>
        <v>0</v>
      </c>
      <c r="L196" s="1" t="e">
        <f t="shared" si="13"/>
        <v>#REF!</v>
      </c>
      <c r="M196" s="1">
        <f t="shared" si="6"/>
        <v>1</v>
      </c>
      <c r="N196" s="1">
        <v>1</v>
      </c>
      <c r="O196" s="1" t="str">
        <f t="shared" si="3"/>
        <v/>
      </c>
    </row>
    <row r="197" spans="1:15" ht="30" customHeight="1" x14ac:dyDescent="0.25">
      <c r="A197" s="156"/>
      <c r="B197" s="155" t="s">
        <v>241</v>
      </c>
      <c r="C197" s="155"/>
      <c r="D197" s="155"/>
      <c r="E197" s="35" t="s">
        <v>6</v>
      </c>
      <c r="H197" s="3">
        <f t="shared" si="26"/>
        <v>0</v>
      </c>
      <c r="L197" s="1" t="e">
        <f t="shared" si="13"/>
        <v>#REF!</v>
      </c>
      <c r="M197" s="1">
        <f t="shared" si="6"/>
        <v>1</v>
      </c>
      <c r="N197" s="1">
        <v>1</v>
      </c>
      <c r="O197" s="1" t="str">
        <f t="shared" si="3"/>
        <v/>
      </c>
    </row>
    <row r="198" spans="1:15" ht="15" customHeight="1" x14ac:dyDescent="0.25">
      <c r="A198" s="156"/>
      <c r="B198" s="155" t="s">
        <v>242</v>
      </c>
      <c r="C198" s="155"/>
      <c r="D198" s="155"/>
      <c r="E198" s="35" t="s">
        <v>6</v>
      </c>
      <c r="H198" s="3">
        <f t="shared" si="26"/>
        <v>0</v>
      </c>
      <c r="L198" s="1" t="e">
        <f t="shared" si="13"/>
        <v>#REF!</v>
      </c>
      <c r="M198" s="1">
        <f t="shared" si="6"/>
        <v>1</v>
      </c>
      <c r="N198" s="1">
        <v>1</v>
      </c>
      <c r="O198" s="1" t="str">
        <f t="shared" si="3"/>
        <v/>
      </c>
    </row>
    <row r="199" spans="1:15" ht="15" customHeight="1" x14ac:dyDescent="0.25">
      <c r="A199" s="156"/>
      <c r="B199" s="155" t="s">
        <v>243</v>
      </c>
      <c r="C199" s="155"/>
      <c r="D199" s="155"/>
      <c r="E199" s="35" t="s">
        <v>6</v>
      </c>
      <c r="H199" s="3">
        <f t="shared" si="26"/>
        <v>0</v>
      </c>
      <c r="L199" s="1" t="e">
        <f t="shared" si="13"/>
        <v>#REF!</v>
      </c>
      <c r="M199" s="1">
        <f t="shared" si="6"/>
        <v>1</v>
      </c>
      <c r="N199" s="1">
        <v>1</v>
      </c>
      <c r="O199" s="1" t="str">
        <f t="shared" si="3"/>
        <v/>
      </c>
    </row>
    <row r="200" spans="1:15" ht="15" customHeight="1" x14ac:dyDescent="0.25">
      <c r="A200" s="156"/>
      <c r="B200" s="32" t="s">
        <v>209</v>
      </c>
      <c r="C200" s="159"/>
      <c r="D200" s="159"/>
      <c r="E200" s="35" t="s">
        <v>6</v>
      </c>
    </row>
    <row r="201" spans="1:15" s="38" customFormat="1" ht="47.85" customHeight="1" x14ac:dyDescent="0.25">
      <c r="A201" s="156"/>
      <c r="B201" s="160" t="s">
        <v>244</v>
      </c>
      <c r="C201" s="160"/>
      <c r="D201" s="159"/>
      <c r="E201" s="159"/>
      <c r="F201" s="36"/>
      <c r="G201" s="37"/>
      <c r="H201" s="37">
        <f>IF(E200="-- выберите --",0,1)</f>
        <v>0</v>
      </c>
      <c r="K201" s="39">
        <f>IF(C200=0,IF(H201=0,0,"Вы указали значение показателя для графы -ДРУГОЕ-, уточните его наименование в строке 201"),0)</f>
        <v>0</v>
      </c>
      <c r="L201" s="38" t="e">
        <f>L199+1</f>
        <v>#REF!</v>
      </c>
      <c r="M201" s="38">
        <f t="shared" ref="M201:M206" si="27">IF(K201=0,1,0)</f>
        <v>1</v>
      </c>
      <c r="N201" s="38">
        <v>1</v>
      </c>
      <c r="O201" s="38" t="str">
        <f t="shared" ref="O201:O206" si="28">IF(-M201+N201&lt;=0,"",ROW(K201)-ROW($K$1))</f>
        <v/>
      </c>
    </row>
    <row r="202" spans="1:15" ht="40.35" customHeight="1" x14ac:dyDescent="0.25">
      <c r="A202" s="156" t="s">
        <v>245</v>
      </c>
      <c r="B202" s="155" t="s">
        <v>246</v>
      </c>
      <c r="C202" s="155"/>
      <c r="D202" s="154" t="s">
        <v>6</v>
      </c>
      <c r="E202" s="154"/>
      <c r="G202" s="3">
        <f>SUM(H202:H205)</f>
        <v>0</v>
      </c>
      <c r="H202" s="3">
        <f>IF(D202="-- выберите --",0,1)</f>
        <v>0</v>
      </c>
      <c r="K202" s="4" t="str">
        <f>IF(G202=4,0,"Оцените, пожалуйста, Все показатели  - строка 202-205 вопрос №47")</f>
        <v>Оцените, пожалуйста, Все показатели  - строка 202-205 вопрос №47</v>
      </c>
      <c r="L202" s="1" t="e">
        <f>L201+1</f>
        <v>#REF!</v>
      </c>
      <c r="M202" s="1">
        <f t="shared" si="27"/>
        <v>0</v>
      </c>
      <c r="N202" s="1">
        <v>1</v>
      </c>
      <c r="O202" s="1">
        <f t="shared" si="28"/>
        <v>201</v>
      </c>
    </row>
    <row r="203" spans="1:15" ht="19.5" customHeight="1" x14ac:dyDescent="0.25">
      <c r="A203" s="156"/>
      <c r="B203" s="155" t="s">
        <v>247</v>
      </c>
      <c r="C203" s="155"/>
      <c r="D203" s="154" t="s">
        <v>6</v>
      </c>
      <c r="E203" s="154"/>
      <c r="H203" s="3">
        <f>IF(D203="-- выберите --",0,1)</f>
        <v>0</v>
      </c>
      <c r="L203" s="1" t="e">
        <f>L202+1</f>
        <v>#REF!</v>
      </c>
      <c r="M203" s="1">
        <f t="shared" si="27"/>
        <v>1</v>
      </c>
      <c r="N203" s="1">
        <v>1</v>
      </c>
      <c r="O203" s="1" t="str">
        <f t="shared" si="28"/>
        <v/>
      </c>
    </row>
    <row r="204" spans="1:15" ht="44.25" customHeight="1" x14ac:dyDescent="0.25">
      <c r="A204" s="156"/>
      <c r="B204" s="155" t="s">
        <v>248</v>
      </c>
      <c r="C204" s="155"/>
      <c r="D204" s="154" t="s">
        <v>6</v>
      </c>
      <c r="E204" s="154"/>
      <c r="H204" s="3">
        <f>IF(D204="-- выберите --",0,1)</f>
        <v>0</v>
      </c>
      <c r="L204" s="1" t="e">
        <f>L203+1</f>
        <v>#REF!</v>
      </c>
      <c r="M204" s="1">
        <f t="shared" si="27"/>
        <v>1</v>
      </c>
      <c r="N204" s="1">
        <v>1</v>
      </c>
      <c r="O204" s="1" t="str">
        <f t="shared" si="28"/>
        <v/>
      </c>
    </row>
    <row r="205" spans="1:15" ht="31.5" customHeight="1" x14ac:dyDescent="0.25">
      <c r="A205" s="156"/>
      <c r="B205" s="155" t="s">
        <v>249</v>
      </c>
      <c r="C205" s="155"/>
      <c r="D205" s="154" t="s">
        <v>6</v>
      </c>
      <c r="E205" s="154"/>
      <c r="H205" s="3">
        <f>IF(D205="-- выберите --",0,1)</f>
        <v>0</v>
      </c>
      <c r="L205" s="1" t="e">
        <f>L204+1</f>
        <v>#REF!</v>
      </c>
      <c r="M205" s="1">
        <f t="shared" si="27"/>
        <v>1</v>
      </c>
      <c r="N205" s="1">
        <v>1</v>
      </c>
      <c r="O205" s="1" t="str">
        <f t="shared" si="28"/>
        <v/>
      </c>
    </row>
    <row r="206" spans="1:15" ht="30.75" customHeight="1" x14ac:dyDescent="0.25">
      <c r="A206" s="156" t="s">
        <v>250</v>
      </c>
      <c r="B206" s="156"/>
      <c r="C206" s="156"/>
      <c r="D206" s="156"/>
      <c r="E206" s="18" t="s">
        <v>6</v>
      </c>
      <c r="K206" s="4" t="str">
        <f>IF(E206="-- выберите --","Подтвердите согласие на бесплатную публикацию профайла в отчете - строка 206 вопрос №48",IF(E206="нет","Вы отказались от бесплатной публикации отчета (строка 283 вопрос №61)",0))</f>
        <v>Подтвердите согласие на бесплатную публикацию профайла в отчете - строка 206 вопрос №48</v>
      </c>
      <c r="L206" s="1" t="e">
        <f>L205+1</f>
        <v>#REF!</v>
      </c>
      <c r="M206" s="1">
        <f t="shared" si="27"/>
        <v>0</v>
      </c>
      <c r="N206" s="1">
        <v>1</v>
      </c>
      <c r="O206" s="1">
        <f t="shared" si="28"/>
        <v>205</v>
      </c>
    </row>
    <row r="207" spans="1:15" ht="45" customHeight="1" x14ac:dyDescent="0.25">
      <c r="A207" s="157" t="e">
        <f>IF(F211=0,"Мы благодарим Вас за участие в нашем исследовании! Просим направить заполненную анкету на адрес zhd@russoft.org",IF(F211=1,"При заполнении анкеты допущены неточности - перечень замечаний ниже","Вы отказались от бесплатной публикации отчета (стр.283 вопр.№61)"))</f>
        <v>#NUM!</v>
      </c>
      <c r="B207" s="157"/>
      <c r="C207" s="157"/>
      <c r="D207" s="157"/>
      <c r="E207" s="157"/>
    </row>
    <row r="208" spans="1:15" ht="32.25" customHeight="1" x14ac:dyDescent="0.25">
      <c r="A208" s="158" t="s">
        <v>251</v>
      </c>
      <c r="B208" s="158"/>
      <c r="C208" s="158"/>
      <c r="D208" s="158"/>
      <c r="E208" s="158"/>
    </row>
    <row r="209" spans="1:11" s="26" customFormat="1" x14ac:dyDescent="0.25">
      <c r="A209" s="153" t="s">
        <v>252</v>
      </c>
      <c r="B209" s="153"/>
      <c r="C209" s="153"/>
      <c r="D209" s="153"/>
      <c r="E209" s="153"/>
      <c r="F209" s="2"/>
      <c r="G209" s="40"/>
      <c r="H209" s="40"/>
      <c r="K209" s="41"/>
    </row>
    <row r="210" spans="1:11" s="26" customFormat="1" x14ac:dyDescent="0.25">
      <c r="A210" s="41" t="e">
        <f>IF(L2&gt;COUNTBLANK($O$2:$O$206)," ",INDEX($K$2:$K$206,SMALL($O$2:$O$206,ROW(K2)-2)))</f>
        <v>#NUM!</v>
      </c>
      <c r="C210" s="42"/>
      <c r="D210" s="43"/>
      <c r="E210" s="44"/>
      <c r="F210" s="2"/>
      <c r="G210" s="40"/>
      <c r="H210" s="40"/>
      <c r="K210" s="41"/>
    </row>
    <row r="211" spans="1:11" s="26" customFormat="1" x14ac:dyDescent="0.25">
      <c r="A211" s="41" t="str">
        <f t="shared" ref="A211:A216" si="29">IF(L3&gt;COUNT($O$2:$O$206),"",INDEX($K$2:$K$206,SMALL($O$2:$O$206,ROW(K3)-2)))</f>
        <v>Вы не указали наименование компании - строка 4 вопрос №1</v>
      </c>
      <c r="C211" s="42"/>
      <c r="D211" s="42"/>
      <c r="E211" s="42"/>
      <c r="F211" s="45" t="e">
        <f>IF(A210=" ",0,IF(A210="Вы отказались от бесплатной публикации отчета (строка 283 вопрос №61)",2,1))</f>
        <v>#NUM!</v>
      </c>
      <c r="G211" s="40"/>
      <c r="H211" s="40"/>
      <c r="K211" s="41"/>
    </row>
    <row r="212" spans="1:11" s="26" customFormat="1" x14ac:dyDescent="0.25">
      <c r="A212" s="41" t="str">
        <f t="shared" si="29"/>
        <v>Вы не указали англ. наименование компании - строка 5 вопрос №2</v>
      </c>
      <c r="C212" s="42"/>
      <c r="D212" s="42"/>
      <c r="E212" s="42"/>
      <c r="F212" s="2"/>
      <c r="G212" s="40"/>
      <c r="H212" s="40"/>
      <c r="K212" s="41"/>
    </row>
    <row r="213" spans="1:11" s="26" customFormat="1" x14ac:dyDescent="0.25">
      <c r="A213" s="41" t="str">
        <f t="shared" si="29"/>
        <v>Вы не указали год основания компании - строка 6 вопрос №3</v>
      </c>
      <c r="C213" s="42"/>
      <c r="D213" s="42"/>
      <c r="E213" s="42"/>
      <c r="F213" s="2"/>
      <c r="G213" s="40"/>
      <c r="H213" s="40"/>
      <c r="K213" s="41"/>
    </row>
    <row r="214" spans="1:11" s="26" customFormat="1" x14ac:dyDescent="0.25">
      <c r="A214" s="41" t="str">
        <f t="shared" si="29"/>
        <v>Вы не указали головной офис компании - строка 7 вопрос №4</v>
      </c>
      <c r="C214" s="42"/>
      <c r="D214" s="42"/>
      <c r="E214" s="42"/>
      <c r="F214" s="2"/>
      <c r="G214" s="40"/>
      <c r="H214" s="40"/>
      <c r="K214" s="41"/>
    </row>
    <row r="215" spans="1:11" s="26" customFormat="1" x14ac:dyDescent="0.25">
      <c r="A215" s="41" t="str">
        <f t="shared" si="29"/>
        <v>Вы не указали адрес веб-сайта компании - строка 8 вопрос №5</v>
      </c>
      <c r="C215" s="42"/>
      <c r="D215" s="42"/>
      <c r="E215" s="42"/>
      <c r="F215" s="2"/>
      <c r="G215" s="40"/>
      <c r="H215" s="40"/>
      <c r="K215" s="41"/>
    </row>
    <row r="216" spans="1:11" s="26" customFormat="1" x14ac:dyDescent="0.25">
      <c r="A216" s="41" t="str">
        <f t="shared" si="29"/>
        <v>Вы не указали адрес электронной почты - строка 9 вопрос №6</v>
      </c>
      <c r="C216" s="42"/>
      <c r="D216" s="42"/>
      <c r="E216" s="42"/>
      <c r="F216" s="2"/>
      <c r="G216" s="40"/>
      <c r="H216" s="40"/>
      <c r="K216" s="41"/>
    </row>
    <row r="217" spans="1:11" s="26" customFormat="1" x14ac:dyDescent="0.25">
      <c r="A217" s="41" t="str">
        <f>IF(L10&gt;COUNT($O$2:$O$206),"",INDEX($K$2:$K$206,SMALL($O$2:$O$206,ROW(K10)-2)))</f>
        <v>Вы не указали ФИО контактного лица - строка 11 вопрос №8</v>
      </c>
      <c r="C217" s="42"/>
      <c r="D217" s="42"/>
      <c r="E217" s="42"/>
      <c r="F217" s="2"/>
      <c r="G217" s="40"/>
      <c r="H217" s="40"/>
      <c r="K217" s="41"/>
    </row>
    <row r="218" spans="1:11" s="26" customFormat="1" x14ac:dyDescent="0.25">
      <c r="A218" s="41" t="str">
        <f>IF(L12&gt;COUNT($O$2:$O$206),"",INDEX($K$2:$K$206,SMALL($O$2:$O$206,ROW(K12)-2)))</f>
        <v>Вы не указали специализацию компании - строка 12-22 вопрос №9</v>
      </c>
      <c r="C218" s="42"/>
      <c r="D218" s="42"/>
      <c r="E218" s="42"/>
      <c r="F218" s="2"/>
      <c r="G218" s="40"/>
      <c r="H218" s="40"/>
      <c r="K218" s="41"/>
    </row>
    <row r="219" spans="1:11" s="26" customFormat="1" x14ac:dyDescent="0.25">
      <c r="A219" s="41" t="str">
        <f>IF(K13&gt;COUNT($O$2:$O$206),"",INDEX($K$2:$K$206,SMALL($O$2:$O$206,ROW(J13)-2)))</f>
        <v>Вы не выбрали основную специализацию в строке 23</v>
      </c>
      <c r="C219" s="42"/>
      <c r="D219" s="42"/>
      <c r="E219" s="42"/>
      <c r="F219" s="2"/>
      <c r="G219" s="40"/>
      <c r="H219" s="40"/>
      <c r="K219" s="41"/>
    </row>
    <row r="220" spans="1:11" s="26" customFormat="1" x14ac:dyDescent="0.25">
      <c r="A220" s="41" t="str">
        <f>IF(K14&gt;COUNT($O$2:$O$206),"",INDEX($K$2:$K$206,SMALL($O$2:$O$206,ROW(J14)-2)))</f>
        <v>Вы не предоставили данные об удаленных центрах компании - строка 28-42 вопрос №10</v>
      </c>
      <c r="C220" s="42"/>
      <c r="D220" s="42"/>
      <c r="E220" s="42"/>
      <c r="F220" s="2"/>
      <c r="G220" s="40"/>
      <c r="H220" s="40"/>
      <c r="K220" s="41"/>
    </row>
    <row r="221" spans="1:11" s="26" customFormat="1" x14ac:dyDescent="0.25">
      <c r="A221" s="41" t="str">
        <f t="shared" ref="A221:A252" si="30">IF(L15&gt;COUNT($O$2:$O$206),"",INDEX($K$2:$K$206,SMALL($O$2:$O$206,ROW(K15)-2)))</f>
        <v>Вы не предоставили данные об офисах продаж - строка 45-60 вопрос №11</v>
      </c>
      <c r="C221" s="42"/>
      <c r="D221" s="42"/>
      <c r="E221" s="42"/>
      <c r="F221" s="2"/>
      <c r="G221" s="40"/>
      <c r="H221" s="40"/>
      <c r="K221" s="41"/>
    </row>
    <row r="222" spans="1:11" s="26" customFormat="1" x14ac:dyDescent="0.25">
      <c r="A222" s="41" t="str">
        <f t="shared" si="30"/>
        <v>Вы не предоставили данные о географии клиентов - строка 64-77 вопрос №12</v>
      </c>
      <c r="C222" s="42"/>
      <c r="D222" s="42"/>
      <c r="E222" s="42"/>
      <c r="F222" s="2"/>
      <c r="G222" s="40"/>
      <c r="H222" s="40"/>
      <c r="K222" s="41"/>
    </row>
    <row r="223" spans="1:11" s="26" customFormat="1" x14ac:dyDescent="0.25">
      <c r="A223" s="41" t="str">
        <f t="shared" si="30"/>
        <v>Вы не указали используемые языки программирования- строка 80-88 вопрос №14</v>
      </c>
      <c r="C223" s="42"/>
      <c r="D223" s="42"/>
      <c r="E223" s="42"/>
      <c r="F223" s="2"/>
      <c r="G223" s="40"/>
      <c r="H223" s="40"/>
      <c r="K223" s="41"/>
    </row>
    <row r="224" spans="1:11" x14ac:dyDescent="0.25">
      <c r="A224" s="41" t="str">
        <f t="shared" si="30"/>
        <v>Вы не указали используемые инструментальные средства- строка 89-96 вопрос №15</v>
      </c>
      <c r="F224" s="26"/>
      <c r="G224" s="3">
        <f>K27</f>
        <v>0</v>
      </c>
    </row>
    <row r="225" spans="1:6" x14ac:dyDescent="0.25">
      <c r="A225" s="41" t="str">
        <f t="shared" si="30"/>
        <v>Вы не указали используемые ОС- строка 97-107 вопрос №16</v>
      </c>
      <c r="F225" s="45"/>
    </row>
    <row r="226" spans="1:6" x14ac:dyDescent="0.25">
      <c r="A226" s="41" t="str">
        <f t="shared" si="30"/>
        <v>Вы не указали используемые СУБД- строка 108-124 вопрос №17</v>
      </c>
      <c r="F226" s="45"/>
    </row>
    <row r="227" spans="1:6" x14ac:dyDescent="0.25">
      <c r="A227" s="41" t="str">
        <f t="shared" si="30"/>
        <v>Вы не предоставили данные о развитии инфраструктуры - строка 126-130 вопрос №18</v>
      </c>
      <c r="F227" s="45"/>
    </row>
    <row r="228" spans="1:6" x14ac:dyDescent="0.25">
      <c r="A228" s="41" t="str">
        <f t="shared" si="30"/>
        <v>Вы не указали тенденцию изменения затрат на аренду офиса в течение 2017 года - строка 130 вопрос №19</v>
      </c>
      <c r="F228" s="45"/>
    </row>
    <row r="229" spans="1:6" x14ac:dyDescent="0.25">
      <c r="A229" s="41" t="str">
        <f t="shared" si="30"/>
        <v>Вы не предоставили данные о количестве сотрудников на конец 2017 года - строка 132 вопрос №20</v>
      </c>
      <c r="F229" s="45"/>
    </row>
    <row r="230" spans="1:6" x14ac:dyDescent="0.25">
      <c r="A230" s="41" t="str">
        <f t="shared" si="30"/>
        <v>Вы не указали численность профильных технических сотрудников вашей компании по состоянию на конец 2017 года - строка 133 вопрос №21</v>
      </c>
      <c r="F230" s="45"/>
    </row>
    <row r="231" spans="1:6" x14ac:dyDescent="0.25">
      <c r="A231" s="41" t="str">
        <f t="shared" si="30"/>
        <v>Вы не указали тенденцию изменения численности сотрудников в течение 2017 года - строка 134 вопрос №22</v>
      </c>
      <c r="F231" s="45"/>
    </row>
    <row r="232" spans="1:6" x14ac:dyDescent="0.25">
      <c r="A232" s="41" t="str">
        <f t="shared" si="30"/>
        <v>Вы не предоставили данные о доле новых сотрудников, прибывших из-за рубежа - строка 135 вопрос №23</v>
      </c>
      <c r="F232" s="45"/>
    </row>
    <row r="233" spans="1:6" x14ac:dyDescent="0.25">
      <c r="A233" s="41" t="str">
        <f t="shared" si="30"/>
        <v>Вы не ответили на вопрос о миграции сотрудников - строка 136 вопрос №24</v>
      </c>
      <c r="F233" s="45"/>
    </row>
    <row r="234" spans="1:6" x14ac:dyDescent="0.25">
      <c r="A234" s="41" t="str">
        <f t="shared" si="30"/>
        <v>Вы не указали тенденцию изменения численности сотрудников в течение 2018 года - строка 137 вопрос №25</v>
      </c>
      <c r="F234" s="45"/>
    </row>
    <row r="235" spans="1:6" x14ac:dyDescent="0.25">
      <c r="A235" s="41" t="str">
        <f t="shared" si="30"/>
        <v>Вы не указали тенденцию изменения уровня зарплаты в 2017 году - строка 138 вопрос №26</v>
      </c>
      <c r="F235" s="45"/>
    </row>
    <row r="236" spans="1:6" x14ac:dyDescent="0.25">
      <c r="A236" s="41" t="str">
        <f t="shared" si="30"/>
        <v>Вы не ответили на вопрос о % сотрудников, покинувших компанию - строка 139 вопрос №27</v>
      </c>
      <c r="F236" s="45"/>
    </row>
    <row r="237" spans="1:6" x14ac:dyDescent="0.25">
      <c r="A237" s="41" t="str">
        <f t="shared" si="30"/>
        <v>Вы не ответили на вопрос о % выпускников, принятых в компанию - строка 140 вопрос №28</v>
      </c>
      <c r="F237" s="45"/>
    </row>
    <row r="238" spans="1:6" x14ac:dyDescent="0.25">
      <c r="A238" s="41" t="str">
        <f t="shared" si="30"/>
        <v>Вы не перечислили вузы, выпускники которых пользуются наибольшим спросом среди ИТ-компаний вашего региона - строка 141 вопрос №29</v>
      </c>
      <c r="F238" s="45"/>
    </row>
    <row r="239" spans="1:6" x14ac:dyDescent="0.25">
      <c r="A239" s="41" t="str">
        <f t="shared" si="30"/>
        <v>Вы не предоставили данные о партнерских программах - строка 142-145 вопрос №30</v>
      </c>
      <c r="F239" s="45"/>
    </row>
    <row r="240" spans="1:6" x14ac:dyDescent="0.25">
      <c r="A240" s="41" t="str">
        <f t="shared" si="30"/>
        <v>Вы не указали диапазон годового оборота - строка 147 вопрос №31</v>
      </c>
      <c r="F240" s="45"/>
    </row>
    <row r="241" spans="1:6" x14ac:dyDescent="0.25">
      <c r="A241" s="41" t="str">
        <f t="shared" si="30"/>
        <v>Вы не указали точный диапазон годового оборота - строка 148 вопрос №32</v>
      </c>
      <c r="F241" s="45"/>
    </row>
    <row r="242" spans="1:6" x14ac:dyDescent="0.25">
      <c r="A242" s="41" t="str">
        <f t="shared" si="30"/>
        <v>Вы не указали тенденцию изменения оборота в 2017 году - строка 149 вопрос №33</v>
      </c>
    </row>
    <row r="243" spans="1:6" x14ac:dyDescent="0.25">
      <c r="A243" s="41" t="str">
        <f t="shared" si="30"/>
        <v>Вы не указали тенденцию изменения оборота в 2018 году - строка 150 вопрос №34</v>
      </c>
    </row>
    <row r="244" spans="1:6" x14ac:dyDescent="0.25">
      <c r="A244" s="41" t="str">
        <f t="shared" si="30"/>
        <v>Вы не предоставили данные о привлечении инвестиций - строка 151-153 вопрос №35</v>
      </c>
    </row>
    <row r="245" spans="1:6" x14ac:dyDescent="0.25">
      <c r="A245" s="41" t="str">
        <f t="shared" si="30"/>
        <v>Вы не указали % долю экспорта в общей выручке- строка 155 вопрос №36</v>
      </c>
    </row>
    <row r="246" spans="1:6" x14ac:dyDescent="0.25">
      <c r="A246" s="41" t="str">
        <f t="shared" si="30"/>
        <v>Вы не указали тенденцию изменения объема экспорта в 2017 году - строка 156 вопрос №37</v>
      </c>
    </row>
    <row r="247" spans="1:6" x14ac:dyDescent="0.25">
      <c r="A247" s="41" t="str">
        <f t="shared" si="30"/>
        <v>Вы не указали тенденцию изменения объема экспорта в 2018 году - строка 157 вопрос №38</v>
      </c>
    </row>
    <row r="248" spans="1:6" x14ac:dyDescent="0.25">
      <c r="A248" s="41" t="str">
        <f t="shared" si="30"/>
        <v>Укажите наименование показателя строка 164</v>
      </c>
    </row>
    <row r="249" spans="1:6" x14ac:dyDescent="0.25">
      <c r="A249" s="41" t="str">
        <f t="shared" si="30"/>
        <v>Укажите наименование показателя строка 172</v>
      </c>
    </row>
    <row r="250" spans="1:6" x14ac:dyDescent="0.25">
      <c r="A250" s="41" t="str">
        <f t="shared" si="30"/>
        <v>Вы не выбрали приоритетную задачу компании -  строка 174 вопрос №41</v>
      </c>
    </row>
    <row r="251" spans="1:6" x14ac:dyDescent="0.25">
      <c r="A251" s="41" t="str">
        <f t="shared" si="30"/>
        <v>Вы не указали задачи компании -  строка 176-181 вопрос №41</v>
      </c>
    </row>
    <row r="252" spans="1:6" x14ac:dyDescent="0.25">
      <c r="A252" s="41" t="str">
        <f t="shared" si="30"/>
        <v>Вы не указали,как изменилась гос.поддержка  - строка 183 вопрос №42</v>
      </c>
    </row>
    <row r="253" spans="1:6" x14ac:dyDescent="0.25">
      <c r="A253" s="41" t="e">
        <f t="shared" ref="A253:A260" si="31">IF(L53&gt;COUNT($O$2:$O$206),"",INDEX($K$2:$K$206,SMALL($O$2:$O$206,ROW(K53)-2)))</f>
        <v>#NUM!</v>
      </c>
    </row>
    <row r="254" spans="1:6" x14ac:dyDescent="0.25">
      <c r="A254" s="41" t="str">
        <f t="shared" si="31"/>
        <v/>
      </c>
    </row>
    <row r="255" spans="1:6" x14ac:dyDescent="0.25">
      <c r="A255" s="41" t="str">
        <f t="shared" si="31"/>
        <v/>
      </c>
    </row>
    <row r="256" spans="1:6" x14ac:dyDescent="0.25">
      <c r="A256" s="41" t="str">
        <f t="shared" si="31"/>
        <v/>
      </c>
    </row>
    <row r="257" spans="1:1" x14ac:dyDescent="0.25">
      <c r="A257" s="41" t="str">
        <f t="shared" si="31"/>
        <v/>
      </c>
    </row>
    <row r="258" spans="1:1" x14ac:dyDescent="0.25">
      <c r="A258" s="41" t="str">
        <f t="shared" si="31"/>
        <v/>
      </c>
    </row>
    <row r="259" spans="1:1" x14ac:dyDescent="0.25">
      <c r="A259" s="41" t="str">
        <f t="shared" si="31"/>
        <v/>
      </c>
    </row>
    <row r="260" spans="1:1" x14ac:dyDescent="0.25">
      <c r="A260" s="41" t="str">
        <f t="shared" si="31"/>
        <v/>
      </c>
    </row>
    <row r="261" spans="1:1" x14ac:dyDescent="0.25">
      <c r="A261" s="41" t="e">
        <f>IF(#REF!&gt;COUNT($O$2:$O$206),"",INDEX($K$2:$K$206,SMALL($O$2:$O$206,ROW(#REF!)-2)))</f>
        <v>#REF!</v>
      </c>
    </row>
    <row r="262" spans="1:1" x14ac:dyDescent="0.25">
      <c r="A262" s="41" t="e">
        <f t="shared" ref="A262:A270" si="32">IF(L61&gt;COUNT($O$2:$O$206),"",INDEX($K$2:$K$206,SMALL($O$2:$O$206,ROW(K61)-2)))</f>
        <v>#REF!</v>
      </c>
    </row>
    <row r="263" spans="1:1" x14ac:dyDescent="0.25">
      <c r="A263" s="41" t="e">
        <f t="shared" si="32"/>
        <v>#REF!</v>
      </c>
    </row>
    <row r="264" spans="1:1" x14ac:dyDescent="0.25">
      <c r="A264" s="41" t="e">
        <f t="shared" si="32"/>
        <v>#REF!</v>
      </c>
    </row>
    <row r="265" spans="1:1" x14ac:dyDescent="0.25">
      <c r="A265" s="41" t="e">
        <f t="shared" si="32"/>
        <v>#REF!</v>
      </c>
    </row>
    <row r="266" spans="1:1" x14ac:dyDescent="0.25">
      <c r="A266" s="41" t="e">
        <f t="shared" si="32"/>
        <v>#REF!</v>
      </c>
    </row>
    <row r="267" spans="1:1" x14ac:dyDescent="0.25">
      <c r="A267" s="41" t="e">
        <f t="shared" si="32"/>
        <v>#REF!</v>
      </c>
    </row>
    <row r="268" spans="1:1" x14ac:dyDescent="0.25">
      <c r="A268" s="41" t="e">
        <f t="shared" si="32"/>
        <v>#REF!</v>
      </c>
    </row>
    <row r="269" spans="1:1" x14ac:dyDescent="0.25">
      <c r="A269" s="41" t="e">
        <f t="shared" si="32"/>
        <v>#REF!</v>
      </c>
    </row>
    <row r="270" spans="1:1" x14ac:dyDescent="0.25">
      <c r="A270" s="41" t="e">
        <f t="shared" si="32"/>
        <v>#REF!</v>
      </c>
    </row>
    <row r="271" spans="1:1" x14ac:dyDescent="0.25">
      <c r="A271" s="41" t="e">
        <f t="shared" ref="A271:A276" si="33">IF(L71&gt;COUNT($O$2:$O$206),"",INDEX($K$2:$K$206,SMALL($O$2:$O$206,ROW(K71)-2)))</f>
        <v>#REF!</v>
      </c>
    </row>
    <row r="272" spans="1:1" x14ac:dyDescent="0.25">
      <c r="A272" s="41" t="e">
        <f t="shared" si="33"/>
        <v>#REF!</v>
      </c>
    </row>
    <row r="273" spans="1:1" x14ac:dyDescent="0.25">
      <c r="A273" s="41" t="e">
        <f t="shared" si="33"/>
        <v>#REF!</v>
      </c>
    </row>
    <row r="274" spans="1:1" x14ac:dyDescent="0.25">
      <c r="A274" s="41" t="e">
        <f t="shared" si="33"/>
        <v>#REF!</v>
      </c>
    </row>
    <row r="275" spans="1:1" x14ac:dyDescent="0.25">
      <c r="A275" s="41" t="e">
        <f t="shared" si="33"/>
        <v>#REF!</v>
      </c>
    </row>
    <row r="276" spans="1:1" x14ac:dyDescent="0.25">
      <c r="A276" s="41" t="e">
        <f t="shared" si="33"/>
        <v>#REF!</v>
      </c>
    </row>
    <row r="277" spans="1:1" x14ac:dyDescent="0.25">
      <c r="A277" s="41" t="e">
        <f>IF(#REF!&gt;COUNT($O$2:$O$206),"",INDEX($K$2:$K$206,SMALL($O$2:$O$206,ROW(#REF!)-2)))</f>
        <v>#REF!</v>
      </c>
    </row>
    <row r="278" spans="1:1" x14ac:dyDescent="0.25">
      <c r="A278" s="41" t="e">
        <f>IF(#REF!&gt;COUNT($O$2:$O$206),"",INDEX($K$2:$K$206,SMALL($O$2:$O$206,ROW(#REF!)-2)))</f>
        <v>#REF!</v>
      </c>
    </row>
    <row r="279" spans="1:1" x14ac:dyDescent="0.25">
      <c r="A279" s="41" t="e">
        <f>IF(#REF!&gt;COUNT($O$2:$O$206),"",INDEX($K$2:$K$206,SMALL($O$2:$O$206,ROW(#REF!)-2)))</f>
        <v>#REF!</v>
      </c>
    </row>
    <row r="280" spans="1:1" x14ac:dyDescent="0.25">
      <c r="A280" s="41" t="e">
        <f>IF(#REF!&gt;COUNT($O$2:$O$206),"",INDEX($K$2:$K$206,SMALL($O$2:$O$206,ROW(#REF!)-2)))</f>
        <v>#REF!</v>
      </c>
    </row>
    <row r="281" spans="1:1" x14ac:dyDescent="0.25">
      <c r="A281" s="41" t="e">
        <f>IF(#REF!&gt;COUNT($O$2:$O$206),"",INDEX($K$2:$K$206,SMALL($O$2:$O$206,ROW(#REF!)-2)))</f>
        <v>#REF!</v>
      </c>
    </row>
    <row r="282" spans="1:1" x14ac:dyDescent="0.25">
      <c r="A282" s="41" t="e">
        <f>IF(#REF!&gt;COUNT($O$2:$O$206),"",INDEX($K$2:$K$206,SMALL($O$2:$O$206,ROW(#REF!)-2)))</f>
        <v>#REF!</v>
      </c>
    </row>
    <row r="283" spans="1:1" x14ac:dyDescent="0.25">
      <c r="A283" s="41" t="e">
        <f>IF(#REF!&gt;COUNT($O$2:$O$206),"",INDEX($K$2:$K$206,SMALL($O$2:$O$206,ROW(#REF!)-2)))</f>
        <v>#REF!</v>
      </c>
    </row>
    <row r="284" spans="1:1" x14ac:dyDescent="0.25">
      <c r="A284" s="41" t="e">
        <f>IF(#REF!&gt;COUNT($O$2:$O$206),"",INDEX($K$2:$K$206,SMALL($O$2:$O$206,ROW(#REF!)-2)))</f>
        <v>#REF!</v>
      </c>
    </row>
    <row r="285" spans="1:1" x14ac:dyDescent="0.25">
      <c r="A285" s="41" t="e">
        <f>IF(#REF!&gt;COUNT($O$2:$O$206),"",INDEX($K$2:$K$206,SMALL($O$2:$O$206,ROW(#REF!)-2)))</f>
        <v>#REF!</v>
      </c>
    </row>
    <row r="286" spans="1:1" x14ac:dyDescent="0.25">
      <c r="A286" s="41" t="e">
        <f>IF(#REF!&gt;COUNT($O$2:$O$206),"",INDEX($K$2:$K$206,SMALL($O$2:$O$206,ROW(#REF!)-2)))</f>
        <v>#REF!</v>
      </c>
    </row>
    <row r="287" spans="1:1" x14ac:dyDescent="0.25">
      <c r="A287" s="41" t="e">
        <f>IF(#REF!&gt;COUNT($O$2:$O$206),"",INDEX($K$2:$K$206,SMALL($O$2:$O$206,ROW(#REF!)-2)))</f>
        <v>#REF!</v>
      </c>
    </row>
    <row r="288" spans="1:1" x14ac:dyDescent="0.25">
      <c r="A288" s="41" t="e">
        <f>IF(#REF!&gt;COUNT($O$2:$O$206),"",INDEX($K$2:$K$206,SMALL($O$2:$O$206,ROW(#REF!)-2)))</f>
        <v>#REF!</v>
      </c>
    </row>
    <row r="289" spans="1:1" x14ac:dyDescent="0.25">
      <c r="A289" s="41" t="e">
        <f>IF(#REF!&gt;COUNT($O$2:$O$206),"",INDEX($K$2:$K$206,SMALL($O$2:$O$206,ROW(#REF!)-2)))</f>
        <v>#REF!</v>
      </c>
    </row>
    <row r="290" spans="1:1" x14ac:dyDescent="0.25">
      <c r="A290" s="41" t="e">
        <f>IF(#REF!&gt;COUNT($O$2:$O$206),"",INDEX($K$2:$K$206,SMALL($O$2:$O$206,ROW(#REF!)-2)))</f>
        <v>#REF!</v>
      </c>
    </row>
    <row r="291" spans="1:1" x14ac:dyDescent="0.25">
      <c r="A291" s="41" t="e">
        <f>IF(#REF!&gt;COUNT($O$2:$O$206),"",INDEX($K$2:$K$206,SMALL($O$2:$O$206,ROW(#REF!)-2)))</f>
        <v>#REF!</v>
      </c>
    </row>
    <row r="292" spans="1:1" x14ac:dyDescent="0.25">
      <c r="A292" s="41" t="e">
        <f>IF(#REF!&gt;COUNT($O$2:$O$206),"",INDEX($K$2:$K$206,SMALL($O$2:$O$206,ROW(#REF!)-2)))</f>
        <v>#REF!</v>
      </c>
    </row>
    <row r="293" spans="1:1" x14ac:dyDescent="0.25">
      <c r="A293" s="41" t="e">
        <f>IF(#REF!&gt;COUNT($O$2:$O$206),"",INDEX($K$2:$K$206,SMALL($O$2:$O$206,ROW(#REF!)-2)))</f>
        <v>#REF!</v>
      </c>
    </row>
    <row r="294" spans="1:1" x14ac:dyDescent="0.25">
      <c r="A294" s="41" t="e">
        <f>IF(#REF!&gt;COUNT($O$2:$O$206),"",INDEX($K$2:$K$206,SMALL($O$2:$O$206,ROW(#REF!)-2)))</f>
        <v>#REF!</v>
      </c>
    </row>
    <row r="295" spans="1:1" x14ac:dyDescent="0.25">
      <c r="A295" s="41" t="e">
        <f>IF(#REF!&gt;COUNT($O$2:$O$206),"",INDEX($K$2:$K$206,SMALL($O$2:$O$206,ROW(#REF!)-2)))</f>
        <v>#REF!</v>
      </c>
    </row>
    <row r="296" spans="1:1" x14ac:dyDescent="0.25">
      <c r="A296" s="41" t="e">
        <f>IF(#REF!&gt;COUNT($O$2:$O$206),"",INDEX($K$2:$K$206,SMALL($O$2:$O$206,ROW(#REF!)-2)))</f>
        <v>#REF!</v>
      </c>
    </row>
    <row r="297" spans="1:1" x14ac:dyDescent="0.25">
      <c r="A297" s="41" t="e">
        <f>IF(#REF!&gt;COUNT($O$2:$O$206),"",INDEX($K$2:$K$206,SMALL($O$2:$O$206,ROW(#REF!)-2)))</f>
        <v>#REF!</v>
      </c>
    </row>
    <row r="298" spans="1:1" x14ac:dyDescent="0.25">
      <c r="A298" s="41" t="e">
        <f>IF(#REF!&gt;COUNT($O$2:$O$206),"",INDEX($K$2:$K$206,SMALL($O$2:$O$206,ROW(#REF!)-2)))</f>
        <v>#REF!</v>
      </c>
    </row>
    <row r="299" spans="1:1" x14ac:dyDescent="0.25">
      <c r="A299" s="41" t="e">
        <f t="shared" ref="A299:A350" si="34">IF(L77&gt;COUNT($O$2:$O$206),"",INDEX($K$2:$K$206,SMALL($O$2:$O$206,ROW(K77)-2)))</f>
        <v>#REF!</v>
      </c>
    </row>
    <row r="300" spans="1:1" x14ac:dyDescent="0.25">
      <c r="A300" s="41" t="e">
        <f t="shared" si="34"/>
        <v>#REF!</v>
      </c>
    </row>
    <row r="301" spans="1:1" x14ac:dyDescent="0.25">
      <c r="A301" s="41" t="e">
        <f t="shared" si="34"/>
        <v>#REF!</v>
      </c>
    </row>
    <row r="302" spans="1:1" x14ac:dyDescent="0.25">
      <c r="A302" s="41" t="e">
        <f t="shared" si="34"/>
        <v>#REF!</v>
      </c>
    </row>
    <row r="303" spans="1:1" x14ac:dyDescent="0.25">
      <c r="A303" s="41" t="e">
        <f t="shared" si="34"/>
        <v>#REF!</v>
      </c>
    </row>
    <row r="304" spans="1:1" x14ac:dyDescent="0.25">
      <c r="A304" s="41" t="e">
        <f t="shared" si="34"/>
        <v>#REF!</v>
      </c>
    </row>
    <row r="305" spans="1:1" x14ac:dyDescent="0.25">
      <c r="A305" s="41" t="e">
        <f t="shared" si="34"/>
        <v>#REF!</v>
      </c>
    </row>
    <row r="306" spans="1:1" x14ac:dyDescent="0.25">
      <c r="A306" s="41" t="e">
        <f t="shared" si="34"/>
        <v>#REF!</v>
      </c>
    </row>
    <row r="307" spans="1:1" x14ac:dyDescent="0.25">
      <c r="A307" s="41" t="e">
        <f t="shared" si="34"/>
        <v>#REF!</v>
      </c>
    </row>
    <row r="308" spans="1:1" x14ac:dyDescent="0.25">
      <c r="A308" s="41" t="e">
        <f t="shared" si="34"/>
        <v>#REF!</v>
      </c>
    </row>
    <row r="309" spans="1:1" x14ac:dyDescent="0.25">
      <c r="A309" s="41" t="e">
        <f t="shared" si="34"/>
        <v>#REF!</v>
      </c>
    </row>
    <row r="310" spans="1:1" x14ac:dyDescent="0.25">
      <c r="A310" s="41" t="e">
        <f t="shared" si="34"/>
        <v>#REF!</v>
      </c>
    </row>
    <row r="311" spans="1:1" x14ac:dyDescent="0.25">
      <c r="A311" s="41" t="e">
        <f t="shared" si="34"/>
        <v>#REF!</v>
      </c>
    </row>
    <row r="312" spans="1:1" x14ac:dyDescent="0.25">
      <c r="A312" s="41" t="e">
        <f t="shared" si="34"/>
        <v>#REF!</v>
      </c>
    </row>
    <row r="313" spans="1:1" x14ac:dyDescent="0.25">
      <c r="A313" s="41" t="e">
        <f t="shared" si="34"/>
        <v>#REF!</v>
      </c>
    </row>
    <row r="314" spans="1:1" x14ac:dyDescent="0.25">
      <c r="A314" s="41" t="e">
        <f t="shared" si="34"/>
        <v>#REF!</v>
      </c>
    </row>
    <row r="315" spans="1:1" x14ac:dyDescent="0.25">
      <c r="A315" s="41" t="e">
        <f t="shared" si="34"/>
        <v>#REF!</v>
      </c>
    </row>
    <row r="316" spans="1:1" x14ac:dyDescent="0.25">
      <c r="A316" s="41" t="e">
        <f t="shared" si="34"/>
        <v>#REF!</v>
      </c>
    </row>
    <row r="317" spans="1:1" x14ac:dyDescent="0.25">
      <c r="A317" s="41" t="e">
        <f t="shared" si="34"/>
        <v>#REF!</v>
      </c>
    </row>
    <row r="318" spans="1:1" x14ac:dyDescent="0.25">
      <c r="A318" s="41" t="e">
        <f t="shared" si="34"/>
        <v>#REF!</v>
      </c>
    </row>
    <row r="319" spans="1:1" x14ac:dyDescent="0.25">
      <c r="A319" s="41" t="e">
        <f t="shared" si="34"/>
        <v>#REF!</v>
      </c>
    </row>
    <row r="320" spans="1:1" x14ac:dyDescent="0.25">
      <c r="A320" s="41" t="e">
        <f t="shared" si="34"/>
        <v>#REF!</v>
      </c>
    </row>
    <row r="321" spans="1:1" x14ac:dyDescent="0.25">
      <c r="A321" s="41" t="e">
        <f t="shared" si="34"/>
        <v>#REF!</v>
      </c>
    </row>
    <row r="322" spans="1:1" x14ac:dyDescent="0.25">
      <c r="A322" s="41" t="e">
        <f t="shared" si="34"/>
        <v>#REF!</v>
      </c>
    </row>
    <row r="323" spans="1:1" x14ac:dyDescent="0.25">
      <c r="A323" s="41" t="e">
        <f t="shared" si="34"/>
        <v>#REF!</v>
      </c>
    </row>
    <row r="324" spans="1:1" x14ac:dyDescent="0.25">
      <c r="A324" s="41" t="e">
        <f t="shared" si="34"/>
        <v>#REF!</v>
      </c>
    </row>
    <row r="325" spans="1:1" x14ac:dyDescent="0.25">
      <c r="A325" s="41" t="e">
        <f t="shared" si="34"/>
        <v>#REF!</v>
      </c>
    </row>
    <row r="326" spans="1:1" x14ac:dyDescent="0.25">
      <c r="A326" s="41" t="e">
        <f t="shared" si="34"/>
        <v>#REF!</v>
      </c>
    </row>
    <row r="327" spans="1:1" x14ac:dyDescent="0.25">
      <c r="A327" s="41" t="e">
        <f t="shared" si="34"/>
        <v>#REF!</v>
      </c>
    </row>
    <row r="328" spans="1:1" x14ac:dyDescent="0.25">
      <c r="A328" s="41" t="e">
        <f t="shared" si="34"/>
        <v>#REF!</v>
      </c>
    </row>
    <row r="329" spans="1:1" x14ac:dyDescent="0.25">
      <c r="A329" s="41" t="e">
        <f t="shared" si="34"/>
        <v>#REF!</v>
      </c>
    </row>
    <row r="330" spans="1:1" x14ac:dyDescent="0.25">
      <c r="A330" s="41" t="e">
        <f t="shared" si="34"/>
        <v>#REF!</v>
      </c>
    </row>
    <row r="331" spans="1:1" x14ac:dyDescent="0.25">
      <c r="A331" s="41" t="e">
        <f t="shared" si="34"/>
        <v>#REF!</v>
      </c>
    </row>
    <row r="332" spans="1:1" x14ac:dyDescent="0.25">
      <c r="A332" s="41" t="e">
        <f t="shared" si="34"/>
        <v>#REF!</v>
      </c>
    </row>
    <row r="333" spans="1:1" x14ac:dyDescent="0.25">
      <c r="A333" s="41" t="e">
        <f t="shared" si="34"/>
        <v>#REF!</v>
      </c>
    </row>
    <row r="334" spans="1:1" x14ac:dyDescent="0.25">
      <c r="A334" s="41" t="e">
        <f t="shared" si="34"/>
        <v>#REF!</v>
      </c>
    </row>
    <row r="335" spans="1:1" x14ac:dyDescent="0.25">
      <c r="A335" s="41" t="e">
        <f t="shared" si="34"/>
        <v>#REF!</v>
      </c>
    </row>
    <row r="336" spans="1:1" x14ac:dyDescent="0.25">
      <c r="A336" s="41" t="e">
        <f t="shared" si="34"/>
        <v>#REF!</v>
      </c>
    </row>
    <row r="337" spans="1:1" x14ac:dyDescent="0.25">
      <c r="A337" s="41" t="e">
        <f t="shared" si="34"/>
        <v>#REF!</v>
      </c>
    </row>
    <row r="338" spans="1:1" x14ac:dyDescent="0.25">
      <c r="A338" s="41" t="e">
        <f t="shared" si="34"/>
        <v>#REF!</v>
      </c>
    </row>
    <row r="339" spans="1:1" x14ac:dyDescent="0.25">
      <c r="A339" s="41" t="e">
        <f t="shared" si="34"/>
        <v>#REF!</v>
      </c>
    </row>
    <row r="340" spans="1:1" x14ac:dyDescent="0.25">
      <c r="A340" s="41" t="e">
        <f t="shared" si="34"/>
        <v>#REF!</v>
      </c>
    </row>
    <row r="341" spans="1:1" x14ac:dyDescent="0.25">
      <c r="A341" s="41" t="e">
        <f t="shared" si="34"/>
        <v>#REF!</v>
      </c>
    </row>
    <row r="342" spans="1:1" x14ac:dyDescent="0.25">
      <c r="A342" s="41" t="e">
        <f t="shared" si="34"/>
        <v>#REF!</v>
      </c>
    </row>
    <row r="343" spans="1:1" x14ac:dyDescent="0.25">
      <c r="A343" s="41" t="e">
        <f t="shared" si="34"/>
        <v>#REF!</v>
      </c>
    </row>
    <row r="344" spans="1:1" x14ac:dyDescent="0.25">
      <c r="A344" s="41" t="e">
        <f t="shared" si="34"/>
        <v>#REF!</v>
      </c>
    </row>
    <row r="345" spans="1:1" x14ac:dyDescent="0.25">
      <c r="A345" s="41" t="e">
        <f t="shared" si="34"/>
        <v>#REF!</v>
      </c>
    </row>
    <row r="346" spans="1:1" x14ac:dyDescent="0.25">
      <c r="A346" s="41" t="e">
        <f t="shared" si="34"/>
        <v>#REF!</v>
      </c>
    </row>
    <row r="347" spans="1:1" x14ac:dyDescent="0.25">
      <c r="A347" s="41" t="e">
        <f t="shared" si="34"/>
        <v>#REF!</v>
      </c>
    </row>
    <row r="348" spans="1:1" x14ac:dyDescent="0.25">
      <c r="A348" s="41" t="e">
        <f t="shared" si="34"/>
        <v>#REF!</v>
      </c>
    </row>
    <row r="349" spans="1:1" x14ac:dyDescent="0.25">
      <c r="A349" s="41" t="e">
        <f t="shared" si="34"/>
        <v>#REF!</v>
      </c>
    </row>
    <row r="350" spans="1:1" x14ac:dyDescent="0.25">
      <c r="A350" s="41" t="e">
        <f t="shared" si="34"/>
        <v>#REF!</v>
      </c>
    </row>
    <row r="351" spans="1:1" x14ac:dyDescent="0.25">
      <c r="A351" s="41" t="e">
        <f>IF(#REF!&gt;COUNT($O$2:$O$206),"",INDEX($K$2:$K$206,SMALL($O$2:$O$206,ROW(#REF!)-2)))</f>
        <v>#REF!</v>
      </c>
    </row>
    <row r="352" spans="1:1" x14ac:dyDescent="0.25">
      <c r="A352" s="41" t="e">
        <f>IF(L129&gt;COUNT($O$2:$O$206),"",INDEX($K$2:$K$206,SMALL($O$2:$O$206,ROW(K129)-2)))</f>
        <v>#REF!</v>
      </c>
    </row>
    <row r="353" spans="1:1" x14ac:dyDescent="0.25">
      <c r="A353" s="41" t="e">
        <f>IF(L130&gt;COUNT($O$2:$O$206),"",INDEX($K$2:$K$206,SMALL($O$2:$O$206,ROW(K130)-2)))</f>
        <v>#REF!</v>
      </c>
    </row>
    <row r="354" spans="1:1" x14ac:dyDescent="0.25">
      <c r="A354" s="41" t="e">
        <f>IF(L131&gt;COUNT($O$2:$O$206),"",INDEX($K$2:$K$206,SMALL($O$2:$O$206,ROW(K131)-2)))</f>
        <v>#REF!</v>
      </c>
    </row>
    <row r="355" spans="1:1" x14ac:dyDescent="0.25">
      <c r="A355" s="41" t="e">
        <f>IF(L133&gt;COUNT($O$2:$O$206),"",INDEX($K$2:$K$206,SMALL($O$2:$O$206,ROW(K133)-2)))</f>
        <v>#REF!</v>
      </c>
    </row>
    <row r="356" spans="1:1" x14ac:dyDescent="0.25">
      <c r="A356" s="41" t="e">
        <f>IF(L134&gt;COUNT($O$2:$O$206),"",INDEX($K$2:$K$206,SMALL($O$2:$O$206,ROW(K134)-2)))</f>
        <v>#REF!</v>
      </c>
    </row>
    <row r="357" spans="1:1" x14ac:dyDescent="0.25">
      <c r="A357" s="41" t="e">
        <f>IF(L135&gt;COUNT($O$2:$O$206),"",INDEX($K$2:$K$206,SMALL($O$2:$O$206,ROW(K135)-2)))</f>
        <v>#REF!</v>
      </c>
    </row>
    <row r="358" spans="1:1" x14ac:dyDescent="0.25">
      <c r="A358" s="41" t="e">
        <f>IF(L136&gt;COUNT($O$2:$O$206),"",INDEX($K$2:$K$206,SMALL($O$2:$O$206,ROW(K136)-2)))</f>
        <v>#REF!</v>
      </c>
    </row>
    <row r="359" spans="1:1" x14ac:dyDescent="0.25">
      <c r="A359" s="41" t="e">
        <f>IF(L137&gt;COUNT($O$2:$O$206),"",INDEX($K$2:$K$206,SMALL($O$2:$O$206,ROW(K137)-2)))</f>
        <v>#REF!</v>
      </c>
    </row>
    <row r="360" spans="1:1" x14ac:dyDescent="0.25">
      <c r="A360" s="41" t="e">
        <f>IF(IN359&gt;COUNT($O$2:$O$206),"",INDEX($K$2:$K$206,SMALL($O$2:$O$206,ROW(IN359)-2)))</f>
        <v>#NUM!</v>
      </c>
    </row>
    <row r="361" spans="1:1" x14ac:dyDescent="0.25">
      <c r="A361" s="41" t="e">
        <f>IF(IN360&gt;COUNT($O$2:$O$206),"",INDEX($K$2:$K$206,SMALL($O$2:$O$206,ROW(IN360)-2)))</f>
        <v>#NUM!</v>
      </c>
    </row>
    <row r="362" spans="1:1" x14ac:dyDescent="0.25">
      <c r="A362" s="41" t="e">
        <f>IF(IN361&gt;COUNT($O$2:$O$206),"",INDEX($K$2:$K$206,SMALL($O$2:$O$206,ROW(IN361)-2)))</f>
        <v>#NUM!</v>
      </c>
    </row>
    <row r="363" spans="1:1" x14ac:dyDescent="0.25">
      <c r="A363" s="41" t="e">
        <f>IF(IN362&gt;COUNT($O$2:$O$206),"",INDEX($K$2:$K$206,SMALL($O$2:$O$206,ROW(IN362)-2)))</f>
        <v>#NUM!</v>
      </c>
    </row>
    <row r="364" spans="1:1" x14ac:dyDescent="0.25">
      <c r="A364" s="41" t="e">
        <f>IF(L138&gt;COUNT($O$2:$O$206),"",INDEX($K$2:$K$206,SMALL($O$2:$O$206,ROW(K138)-2)))</f>
        <v>#REF!</v>
      </c>
    </row>
    <row r="365" spans="1:1" x14ac:dyDescent="0.25">
      <c r="A365" s="41" t="e">
        <f>IF(L139&gt;COUNT($O$2:$O$206),"",INDEX($K$2:$K$206,SMALL($O$2:$O$206,ROW(K139)-2)))</f>
        <v>#REF!</v>
      </c>
    </row>
    <row r="366" spans="1:1" x14ac:dyDescent="0.25">
      <c r="A366" s="41" t="e">
        <f>IF(L140&gt;COUNT($O$2:$O$206),"",INDEX($K$2:$K$206,SMALL($O$2:$O$206,ROW(K140)-2)))</f>
        <v>#REF!</v>
      </c>
    </row>
    <row r="367" spans="1:1" x14ac:dyDescent="0.25">
      <c r="A367" s="41" t="e">
        <f>IF(IN366&gt;COUNT($O$2:$O$206),"",INDEX($K$2:$K$206,SMALL($O$2:$O$206,ROW(IN366)-2)))</f>
        <v>#NUM!</v>
      </c>
    </row>
    <row r="368" spans="1:1" x14ac:dyDescent="0.25">
      <c r="A368" s="41" t="e">
        <f>IF(IN367&gt;COUNT($O$2:$O$206),"",INDEX($K$2:$K$206,SMALL($O$2:$O$206,ROW(IN367)-2)))</f>
        <v>#NUM!</v>
      </c>
    </row>
    <row r="369" spans="1:1" x14ac:dyDescent="0.25">
      <c r="A369" s="41" t="e">
        <f>IF(IN368&gt;COUNT($O$2:$O$206),"",INDEX($K$2:$K$206,SMALL($O$2:$O$206,ROW(IN368)-2)))</f>
        <v>#NUM!</v>
      </c>
    </row>
    <row r="370" spans="1:1" x14ac:dyDescent="0.25">
      <c r="A370" s="41" t="e">
        <f>IF(IN369&gt;COUNT($O$2:$O$206),"",INDEX($K$2:$K$206,SMALL($O$2:$O$206,ROW(IN369)-2)))</f>
        <v>#NUM!</v>
      </c>
    </row>
    <row r="371" spans="1:1" x14ac:dyDescent="0.25">
      <c r="A371" s="41" t="e">
        <f>IF(L141&gt;COUNT($O$2:$O$206),"",INDEX($K$2:$K$206,SMALL($O$2:$O$206,ROW(K141)-2)))</f>
        <v>#REF!</v>
      </c>
    </row>
    <row r="372" spans="1:1" x14ac:dyDescent="0.25">
      <c r="A372" s="41" t="e">
        <f>IF(L142&gt;COUNT($O$2:$O$206),"",INDEX($K$2:$K$206,SMALL($O$2:$O$206,ROW(K142)-2)))</f>
        <v>#REF!</v>
      </c>
    </row>
    <row r="373" spans="1:1" x14ac:dyDescent="0.25">
      <c r="A373" s="41" t="e">
        <f>IF(L143&gt;COUNT($O$2:$O$206),"",INDEX($K$2:$K$206,SMALL($O$2:$O$206,ROW(K143)-2)))</f>
        <v>#REF!</v>
      </c>
    </row>
    <row r="374" spans="1:1" x14ac:dyDescent="0.25">
      <c r="A374" s="41" t="e">
        <f>IF(L144&gt;COUNT($O$2:$O$206),"",INDEX($K$2:$K$206,SMALL($O$2:$O$206,ROW(K144)-2)))</f>
        <v>#REF!</v>
      </c>
    </row>
    <row r="375" spans="1:1" x14ac:dyDescent="0.25">
      <c r="A375" s="41" t="e">
        <f t="shared" ref="A375:A393" si="35">IF(IN374&gt;COUNT($O$2:$O$206),"",INDEX($K$2:$K$206,SMALL($O$2:$O$206,ROW(IN374)-2)))</f>
        <v>#NUM!</v>
      </c>
    </row>
    <row r="376" spans="1:1" x14ac:dyDescent="0.25">
      <c r="A376" s="41" t="e">
        <f t="shared" si="35"/>
        <v>#NUM!</v>
      </c>
    </row>
    <row r="377" spans="1:1" x14ac:dyDescent="0.25">
      <c r="A377" s="41" t="e">
        <f t="shared" si="35"/>
        <v>#NUM!</v>
      </c>
    </row>
    <row r="378" spans="1:1" x14ac:dyDescent="0.25">
      <c r="A378" s="41" t="e">
        <f t="shared" si="35"/>
        <v>#NUM!</v>
      </c>
    </row>
    <row r="379" spans="1:1" x14ac:dyDescent="0.25">
      <c r="A379" s="41" t="e">
        <f t="shared" si="35"/>
        <v>#NUM!</v>
      </c>
    </row>
    <row r="380" spans="1:1" x14ac:dyDescent="0.25">
      <c r="A380" s="41" t="e">
        <f t="shared" si="35"/>
        <v>#NUM!</v>
      </c>
    </row>
    <row r="381" spans="1:1" x14ac:dyDescent="0.25">
      <c r="A381" s="41" t="e">
        <f t="shared" si="35"/>
        <v>#NUM!</v>
      </c>
    </row>
    <row r="382" spans="1:1" x14ac:dyDescent="0.25">
      <c r="A382" s="41" t="e">
        <f t="shared" si="35"/>
        <v>#NUM!</v>
      </c>
    </row>
    <row r="383" spans="1:1" x14ac:dyDescent="0.25">
      <c r="A383" s="41" t="e">
        <f t="shared" si="35"/>
        <v>#NUM!</v>
      </c>
    </row>
    <row r="384" spans="1:1" x14ac:dyDescent="0.25">
      <c r="A384" s="41" t="e">
        <f t="shared" si="35"/>
        <v>#NUM!</v>
      </c>
    </row>
    <row r="385" spans="1:1" x14ac:dyDescent="0.25">
      <c r="A385" s="41" t="e">
        <f t="shared" si="35"/>
        <v>#NUM!</v>
      </c>
    </row>
    <row r="386" spans="1:1" x14ac:dyDescent="0.25">
      <c r="A386" s="41" t="e">
        <f t="shared" si="35"/>
        <v>#NUM!</v>
      </c>
    </row>
    <row r="387" spans="1:1" x14ac:dyDescent="0.25">
      <c r="A387" s="41" t="e">
        <f t="shared" si="35"/>
        <v>#NUM!</v>
      </c>
    </row>
    <row r="388" spans="1:1" x14ac:dyDescent="0.25">
      <c r="A388" s="41" t="e">
        <f t="shared" si="35"/>
        <v>#NUM!</v>
      </c>
    </row>
    <row r="389" spans="1:1" x14ac:dyDescent="0.25">
      <c r="A389" s="41" t="e">
        <f t="shared" si="35"/>
        <v>#NUM!</v>
      </c>
    </row>
    <row r="390" spans="1:1" x14ac:dyDescent="0.25">
      <c r="A390" s="41" t="e">
        <f t="shared" si="35"/>
        <v>#NUM!</v>
      </c>
    </row>
    <row r="391" spans="1:1" x14ac:dyDescent="0.25">
      <c r="A391" s="41" t="e">
        <f t="shared" si="35"/>
        <v>#NUM!</v>
      </c>
    </row>
    <row r="392" spans="1:1" x14ac:dyDescent="0.25">
      <c r="A392" s="41" t="e">
        <f t="shared" si="35"/>
        <v>#NUM!</v>
      </c>
    </row>
    <row r="393" spans="1:1" x14ac:dyDescent="0.25">
      <c r="A393" s="41" t="e">
        <f t="shared" si="35"/>
        <v>#NUM!</v>
      </c>
    </row>
    <row r="394" spans="1:1" x14ac:dyDescent="0.25">
      <c r="A394" s="41" t="e">
        <f>IF(#REF!&gt;COUNT($O$2:$O$206),"",INDEX($K$2:$K$206,SMALL($O$2:$O$206,ROW(#REF!)-2)))</f>
        <v>#REF!</v>
      </c>
    </row>
    <row r="395" spans="1:1" x14ac:dyDescent="0.25">
      <c r="A395" s="41" t="e">
        <f>NA()</f>
        <v>#N/A</v>
      </c>
    </row>
    <row r="396" spans="1:1" x14ac:dyDescent="0.25">
      <c r="A396" s="41" t="e">
        <f>IF(#REF!&gt;COUNT($O$2:$O$206),"",INDEX($K$2:$K$206,SMALL($O$2:$O$206,ROW(#REF!)-2)))</f>
        <v>#REF!</v>
      </c>
    </row>
    <row r="397" spans="1:1" x14ac:dyDescent="0.25">
      <c r="A397" s="41" t="e">
        <f t="shared" ref="A397:A409" si="36">IF(L145&gt;COUNT($O$2:$O$206),"",INDEX($K$2:$K$206,SMALL($O$2:$O$206,ROW(K145)-2)))</f>
        <v>#REF!</v>
      </c>
    </row>
    <row r="398" spans="1:1" x14ac:dyDescent="0.25">
      <c r="A398" s="41" t="e">
        <f t="shared" si="36"/>
        <v>#REF!</v>
      </c>
    </row>
    <row r="399" spans="1:1" x14ac:dyDescent="0.25">
      <c r="A399" s="41" t="e">
        <f t="shared" si="36"/>
        <v>#REF!</v>
      </c>
    </row>
    <row r="400" spans="1:1" x14ac:dyDescent="0.25">
      <c r="A400" s="41" t="e">
        <f t="shared" si="36"/>
        <v>#REF!</v>
      </c>
    </row>
    <row r="401" spans="1:1" x14ac:dyDescent="0.25">
      <c r="A401" s="41" t="e">
        <f t="shared" si="36"/>
        <v>#REF!</v>
      </c>
    </row>
    <row r="402" spans="1:1" x14ac:dyDescent="0.25">
      <c r="A402" s="41" t="e">
        <f t="shared" si="36"/>
        <v>#REF!</v>
      </c>
    </row>
    <row r="403" spans="1:1" x14ac:dyDescent="0.25">
      <c r="A403" s="41" t="e">
        <f t="shared" si="36"/>
        <v>#REF!</v>
      </c>
    </row>
    <row r="404" spans="1:1" x14ac:dyDescent="0.25">
      <c r="A404" s="41" t="e">
        <f t="shared" si="36"/>
        <v>#REF!</v>
      </c>
    </row>
    <row r="405" spans="1:1" x14ac:dyDescent="0.25">
      <c r="A405" s="41" t="e">
        <f t="shared" si="36"/>
        <v>#REF!</v>
      </c>
    </row>
    <row r="406" spans="1:1" x14ac:dyDescent="0.25">
      <c r="A406" s="41" t="e">
        <f t="shared" si="36"/>
        <v>#REF!</v>
      </c>
    </row>
    <row r="407" spans="1:1" x14ac:dyDescent="0.25">
      <c r="A407" s="41" t="e">
        <f t="shared" si="36"/>
        <v>#REF!</v>
      </c>
    </row>
    <row r="408" spans="1:1" x14ac:dyDescent="0.25">
      <c r="A408" s="41" t="e">
        <f t="shared" si="36"/>
        <v>#REF!</v>
      </c>
    </row>
    <row r="409" spans="1:1" x14ac:dyDescent="0.25">
      <c r="A409" s="41" t="e">
        <f t="shared" si="36"/>
        <v>#REF!</v>
      </c>
    </row>
    <row r="410" spans="1:1" x14ac:dyDescent="0.25">
      <c r="A410" s="41" t="e">
        <f t="shared" ref="A410:A415" si="37">IF(L160&gt;COUNT($O$2:$O$206),"",INDEX($K$2:$K$206,SMALL($O$2:$O$206,ROW(K160)-2)))</f>
        <v>#REF!</v>
      </c>
    </row>
    <row r="411" spans="1:1" x14ac:dyDescent="0.25">
      <c r="A411" s="41" t="e">
        <f t="shared" si="37"/>
        <v>#REF!</v>
      </c>
    </row>
    <row r="412" spans="1:1" x14ac:dyDescent="0.25">
      <c r="A412" s="41" t="e">
        <f t="shared" si="37"/>
        <v>#REF!</v>
      </c>
    </row>
    <row r="413" spans="1:1" x14ac:dyDescent="0.25">
      <c r="A413" s="41" t="e">
        <f t="shared" si="37"/>
        <v>#REF!</v>
      </c>
    </row>
    <row r="414" spans="1:1" x14ac:dyDescent="0.25">
      <c r="A414" s="41" t="e">
        <f t="shared" si="37"/>
        <v>#REF!</v>
      </c>
    </row>
    <row r="415" spans="1:1" x14ac:dyDescent="0.25">
      <c r="A415" s="41" t="e">
        <f t="shared" si="37"/>
        <v>#REF!</v>
      </c>
    </row>
    <row r="416" spans="1:1" x14ac:dyDescent="0.25">
      <c r="A416" s="41" t="e">
        <f>IF(L168&gt;COUNT($O$2:$O$206),"",INDEX($K$2:$K$206,SMALL($O$2:$O$206,ROW(K168)-2)))</f>
        <v>#REF!</v>
      </c>
    </row>
    <row r="417" spans="1:1" x14ac:dyDescent="0.25">
      <c r="A417" s="41" t="e">
        <f>IF(L169&gt;COUNT($O$2:$O$206),"",INDEX($K$2:$K$206,SMALL($O$2:$O$206,ROW(K169)-2)))</f>
        <v>#REF!</v>
      </c>
    </row>
    <row r="418" spans="1:1" x14ac:dyDescent="0.25">
      <c r="A418" s="41" t="e">
        <f>IF(L170&gt;COUNT($O$2:$O$206),"",INDEX($K$2:$K$206,SMALL($O$2:$O$206,ROW(K170)-2)))</f>
        <v>#REF!</v>
      </c>
    </row>
    <row r="419" spans="1:1" x14ac:dyDescent="0.25">
      <c r="A419" s="41" t="e">
        <f>IF(L171&gt;COUNT($O$2:$O$206),"",INDEX($K$2:$K$206,SMALL($O$2:$O$206,ROW(K171)-2)))</f>
        <v>#REF!</v>
      </c>
    </row>
    <row r="420" spans="1:1" x14ac:dyDescent="0.25">
      <c r="A420" s="41" t="e">
        <f>IF(#REF!&gt;COUNT($O$2:$O$206),"",INDEX($K$2:$K$206,SMALL($O$2:$O$206,ROW(#REF!)-2)))</f>
        <v>#REF!</v>
      </c>
    </row>
    <row r="421" spans="1:1" x14ac:dyDescent="0.25">
      <c r="A421" s="41" t="e">
        <f>IF(#REF!&gt;COUNT($O$2:$O$206),"",INDEX($K$2:$K$206,SMALL($O$2:$O$206,ROW(#REF!)-2)))</f>
        <v>#REF!</v>
      </c>
    </row>
    <row r="422" spans="1:1" x14ac:dyDescent="0.25">
      <c r="A422" s="41" t="e">
        <f>IF(#REF!&gt;COUNT($O$2:$O$206),"",INDEX($K$2:$K$206,SMALL($O$2:$O$206,ROW(#REF!)-2)))</f>
        <v>#REF!</v>
      </c>
    </row>
    <row r="423" spans="1:1" x14ac:dyDescent="0.25">
      <c r="A423" s="41" t="e">
        <f>IF(#REF!&gt;COUNT($O$2:$O$206),"",INDEX($K$2:$K$206,SMALL($O$2:$O$206,ROW(#REF!)-2)))</f>
        <v>#REF!</v>
      </c>
    </row>
    <row r="424" spans="1:1" x14ac:dyDescent="0.25">
      <c r="A424" s="41" t="e">
        <f>IF(#REF!&gt;COUNT($O$2:$O$206),"",INDEX($K$2:$K$206,SMALL($O$2:$O$206,ROW(#REF!)-2)))</f>
        <v>#REF!</v>
      </c>
    </row>
    <row r="425" spans="1:1" x14ac:dyDescent="0.25">
      <c r="A425" s="41" t="e">
        <f>IF(#REF!&gt;COUNT($O$2:$O$206),"",INDEX($K$2:$K$206,SMALL($O$2:$O$206,ROW(#REF!)-2)))</f>
        <v>#REF!</v>
      </c>
    </row>
    <row r="426" spans="1:1" x14ac:dyDescent="0.25">
      <c r="A426" s="41" t="e">
        <f>IF(#REF!&gt;COUNT($O$2:$O$206),"",INDEX($K$2:$K$206,SMALL($O$2:$O$206,ROW(#REF!)-2)))</f>
        <v>#REF!</v>
      </c>
    </row>
    <row r="427" spans="1:1" x14ac:dyDescent="0.25">
      <c r="A427" s="41" t="e">
        <f>IF(#REF!&gt;COUNT($O$2:$O$206),"",INDEX($K$2:$K$206,SMALL($O$2:$O$206,ROW(#REF!)-2)))</f>
        <v>#REF!</v>
      </c>
    </row>
    <row r="428" spans="1:1" x14ac:dyDescent="0.25">
      <c r="A428" s="41" t="e">
        <f>IF(#REF!&gt;COUNT($O$2:$O$206),"",INDEX($K$2:$K$206,SMALL($O$2:$O$206,ROW(#REF!)-2)))</f>
        <v>#REF!</v>
      </c>
    </row>
    <row r="429" spans="1:1" x14ac:dyDescent="0.25">
      <c r="A429" s="41" t="e">
        <f>IF(#REF!&gt;COUNT($O$2:$O$206),"",INDEX($K$2:$K$206,SMALL($O$2:$O$206,ROW(#REF!)-2)))</f>
        <v>#REF!</v>
      </c>
    </row>
    <row r="430" spans="1:1" x14ac:dyDescent="0.25">
      <c r="A430" s="41" t="e">
        <f>IF(#REF!&gt;COUNT($O$2:$O$206),"",INDEX($K$2:$K$206,SMALL($O$2:$O$206,ROW(#REF!)-2)))</f>
        <v>#REF!</v>
      </c>
    </row>
    <row r="431" spans="1:1" x14ac:dyDescent="0.25">
      <c r="A431" s="41" t="e">
        <f>IF(#REF!&gt;COUNT($O$2:$O$206),"",INDEX($K$2:$K$206,SMALL($O$2:$O$206,ROW(#REF!)-2)))</f>
        <v>#REF!</v>
      </c>
    </row>
    <row r="432" spans="1:1" x14ac:dyDescent="0.25">
      <c r="A432" s="41" t="e">
        <f>IF(#REF!&gt;COUNT($O$2:$O$206),"",INDEX($K$2:$K$206,SMALL($O$2:$O$206,ROW(#REF!)-2)))</f>
        <v>#REF!</v>
      </c>
    </row>
    <row r="433" spans="1:1" x14ac:dyDescent="0.25">
      <c r="A433" s="41" t="e">
        <f>IF(#REF!&gt;COUNT($O$2:$O$206),"",INDEX($K$2:$K$206,SMALL($O$2:$O$206,ROW(#REF!)-2)))</f>
        <v>#REF!</v>
      </c>
    </row>
    <row r="434" spans="1:1" x14ac:dyDescent="0.25">
      <c r="A434" s="41" t="e">
        <f>IF(#REF!&gt;COUNT($O$2:$O$206),"",INDEX($K$2:$K$206,SMALL($O$2:$O$206,ROW(#REF!)-2)))</f>
        <v>#REF!</v>
      </c>
    </row>
    <row r="435" spans="1:1" x14ac:dyDescent="0.25">
      <c r="A435" s="41" t="e">
        <f>IF(#REF!&gt;COUNT($O$2:$O$206),"",INDEX($K$2:$K$206,SMALL($O$2:$O$206,ROW(#REF!)-2)))</f>
        <v>#REF!</v>
      </c>
    </row>
    <row r="436" spans="1:1" x14ac:dyDescent="0.25">
      <c r="A436" s="41" t="e">
        <f>IF(#REF!&gt;COUNT($O$2:$O$206),"",INDEX($K$2:$K$206,SMALL($O$2:$O$206,ROW(#REF!)-2)))</f>
        <v>#REF!</v>
      </c>
    </row>
    <row r="437" spans="1:1" x14ac:dyDescent="0.25">
      <c r="A437" s="41" t="e">
        <f>IF(#REF!&gt;COUNT($O$2:$O$206),"",INDEX($K$2:$K$206,SMALL($O$2:$O$206,ROW(#REF!)-2)))</f>
        <v>#REF!</v>
      </c>
    </row>
    <row r="438" spans="1:1" x14ac:dyDescent="0.25">
      <c r="A438" s="41" t="e">
        <f>IF(#REF!&gt;COUNT($O$2:$O$206),"",INDEX($K$2:$K$206,SMALL($O$2:$O$206,ROW(#REF!)-2)))</f>
        <v>#REF!</v>
      </c>
    </row>
    <row r="439" spans="1:1" x14ac:dyDescent="0.25">
      <c r="A439" s="41" t="e">
        <f>IF(#REF!&gt;COUNT($O$2:$O$206),"",INDEX($K$2:$K$206,SMALL($O$2:$O$206,ROW(#REF!)-2)))</f>
        <v>#REF!</v>
      </c>
    </row>
    <row r="440" spans="1:1" x14ac:dyDescent="0.25">
      <c r="A440" s="41" t="e">
        <f>IF(#REF!&gt;COUNT($O$2:$O$206),"",INDEX($K$2:$K$206,SMALL($O$2:$O$206,ROW(#REF!)-2)))</f>
        <v>#REF!</v>
      </c>
    </row>
    <row r="441" spans="1:1" x14ac:dyDescent="0.25">
      <c r="A441" s="41" t="e">
        <f t="shared" ref="A441:A452" si="38">IF(L172&gt;COUNT($O$2:$O$206),"",INDEX($K$2:$K$206,SMALL($O$2:$O$206,ROW(K172)-2)))</f>
        <v>#REF!</v>
      </c>
    </row>
    <row r="442" spans="1:1" x14ac:dyDescent="0.25">
      <c r="A442" s="41" t="e">
        <f t="shared" si="38"/>
        <v>#REF!</v>
      </c>
    </row>
    <row r="443" spans="1:1" x14ac:dyDescent="0.25">
      <c r="A443" s="41" t="e">
        <f t="shared" si="38"/>
        <v>#REF!</v>
      </c>
    </row>
    <row r="444" spans="1:1" x14ac:dyDescent="0.25">
      <c r="A444" s="41" t="e">
        <f t="shared" si="38"/>
        <v>#REF!</v>
      </c>
    </row>
    <row r="445" spans="1:1" x14ac:dyDescent="0.25">
      <c r="A445" s="41" t="e">
        <f t="shared" si="38"/>
        <v>#REF!</v>
      </c>
    </row>
    <row r="446" spans="1:1" x14ac:dyDescent="0.25">
      <c r="A446" s="41" t="e">
        <f t="shared" si="38"/>
        <v>#REF!</v>
      </c>
    </row>
    <row r="447" spans="1:1" x14ac:dyDescent="0.25">
      <c r="A447" s="41" t="e">
        <f t="shared" si="38"/>
        <v>#REF!</v>
      </c>
    </row>
    <row r="448" spans="1:1" x14ac:dyDescent="0.25">
      <c r="A448" s="41" t="e">
        <f t="shared" si="38"/>
        <v>#REF!</v>
      </c>
    </row>
    <row r="449" spans="1:1" x14ac:dyDescent="0.25">
      <c r="A449" s="41" t="e">
        <f t="shared" si="38"/>
        <v>#REF!</v>
      </c>
    </row>
    <row r="450" spans="1:1" x14ac:dyDescent="0.25">
      <c r="A450" s="41" t="e">
        <f t="shared" si="38"/>
        <v>#REF!</v>
      </c>
    </row>
    <row r="451" spans="1:1" x14ac:dyDescent="0.25">
      <c r="A451" s="41" t="e">
        <f t="shared" si="38"/>
        <v>#REF!</v>
      </c>
    </row>
    <row r="452" spans="1:1" x14ac:dyDescent="0.25">
      <c r="A452" s="41" t="e">
        <f t="shared" si="38"/>
        <v>#REF!</v>
      </c>
    </row>
    <row r="453" spans="1:1" x14ac:dyDescent="0.25">
      <c r="A453" s="41" t="e">
        <f t="shared" ref="A453:A467" si="39">IF(L185&gt;COUNT($O$2:$O$206),"",INDEX($K$2:$K$206,SMALL($O$2:$O$206,ROW(K185)-2)))</f>
        <v>#REF!</v>
      </c>
    </row>
    <row r="454" spans="1:1" x14ac:dyDescent="0.25">
      <c r="A454" s="41" t="e">
        <f t="shared" si="39"/>
        <v>#REF!</v>
      </c>
    </row>
    <row r="455" spans="1:1" x14ac:dyDescent="0.25">
      <c r="A455" s="41" t="e">
        <f t="shared" si="39"/>
        <v>#REF!</v>
      </c>
    </row>
    <row r="456" spans="1:1" x14ac:dyDescent="0.25">
      <c r="A456" s="41" t="e">
        <f t="shared" si="39"/>
        <v>#REF!</v>
      </c>
    </row>
    <row r="457" spans="1:1" x14ac:dyDescent="0.25">
      <c r="A457" s="41" t="e">
        <f t="shared" si="39"/>
        <v>#REF!</v>
      </c>
    </row>
    <row r="458" spans="1:1" x14ac:dyDescent="0.25">
      <c r="A458" s="41" t="e">
        <f t="shared" si="39"/>
        <v>#REF!</v>
      </c>
    </row>
    <row r="459" spans="1:1" x14ac:dyDescent="0.25">
      <c r="A459" s="41" t="e">
        <f t="shared" si="39"/>
        <v>#REF!</v>
      </c>
    </row>
    <row r="460" spans="1:1" x14ac:dyDescent="0.25">
      <c r="A460" s="41" t="e">
        <f t="shared" si="39"/>
        <v>#REF!</v>
      </c>
    </row>
    <row r="461" spans="1:1" x14ac:dyDescent="0.25">
      <c r="A461" s="41" t="e">
        <f t="shared" si="39"/>
        <v>#REF!</v>
      </c>
    </row>
    <row r="462" spans="1:1" x14ac:dyDescent="0.25">
      <c r="A462" s="41" t="e">
        <f t="shared" si="39"/>
        <v>#REF!</v>
      </c>
    </row>
    <row r="463" spans="1:1" x14ac:dyDescent="0.25">
      <c r="A463" s="41" t="e">
        <f t="shared" si="39"/>
        <v>#REF!</v>
      </c>
    </row>
    <row r="464" spans="1:1" x14ac:dyDescent="0.25">
      <c r="A464" s="41" t="e">
        <f t="shared" si="39"/>
        <v>#REF!</v>
      </c>
    </row>
    <row r="465" spans="1:1" x14ac:dyDescent="0.25">
      <c r="A465" s="41" t="e">
        <f t="shared" si="39"/>
        <v>#REF!</v>
      </c>
    </row>
    <row r="466" spans="1:1" x14ac:dyDescent="0.25">
      <c r="A466" s="41" t="e">
        <f t="shared" si="39"/>
        <v>#REF!</v>
      </c>
    </row>
    <row r="467" spans="1:1" x14ac:dyDescent="0.25">
      <c r="A467" s="41" t="e">
        <f t="shared" si="39"/>
        <v>#REF!</v>
      </c>
    </row>
    <row r="468" spans="1:1" x14ac:dyDescent="0.25">
      <c r="A468" s="41" t="e">
        <f>IF(L201&gt;COUNT($O$2:$O$206),"",INDEX($K$2:$K$206,SMALL($O$2:$O$206,ROW(K201)-2)))</f>
        <v>#REF!</v>
      </c>
    </row>
    <row r="469" spans="1:1" x14ac:dyDescent="0.25">
      <c r="A469" s="41" t="e">
        <f t="shared" ref="A469:A481" si="40">IF(IN468&gt;COUNT($O$2:$O$206),"",INDEX($K$2:$K$206,SMALL($O$2:$O$206,ROW(IN468)-2)))</f>
        <v>#NUM!</v>
      </c>
    </row>
    <row r="470" spans="1:1" x14ac:dyDescent="0.25">
      <c r="A470" s="41" t="e">
        <f t="shared" si="40"/>
        <v>#NUM!</v>
      </c>
    </row>
    <row r="471" spans="1:1" x14ac:dyDescent="0.25">
      <c r="A471" s="41" t="e">
        <f t="shared" si="40"/>
        <v>#NUM!</v>
      </c>
    </row>
    <row r="472" spans="1:1" x14ac:dyDescent="0.25">
      <c r="A472" s="41" t="e">
        <f t="shared" si="40"/>
        <v>#NUM!</v>
      </c>
    </row>
    <row r="473" spans="1:1" x14ac:dyDescent="0.25">
      <c r="A473" s="41" t="e">
        <f t="shared" si="40"/>
        <v>#NUM!</v>
      </c>
    </row>
    <row r="474" spans="1:1" x14ac:dyDescent="0.25">
      <c r="A474" s="41" t="e">
        <f t="shared" si="40"/>
        <v>#NUM!</v>
      </c>
    </row>
    <row r="475" spans="1:1" x14ac:dyDescent="0.25">
      <c r="A475" s="41" t="e">
        <f t="shared" si="40"/>
        <v>#NUM!</v>
      </c>
    </row>
    <row r="476" spans="1:1" x14ac:dyDescent="0.25">
      <c r="A476" s="41" t="e">
        <f t="shared" si="40"/>
        <v>#NUM!</v>
      </c>
    </row>
    <row r="477" spans="1:1" x14ac:dyDescent="0.25">
      <c r="A477" s="41" t="e">
        <f t="shared" si="40"/>
        <v>#NUM!</v>
      </c>
    </row>
    <row r="478" spans="1:1" x14ac:dyDescent="0.25">
      <c r="A478" s="41" t="e">
        <f t="shared" si="40"/>
        <v>#NUM!</v>
      </c>
    </row>
    <row r="479" spans="1:1" x14ac:dyDescent="0.25">
      <c r="A479" s="41" t="e">
        <f t="shared" si="40"/>
        <v>#NUM!</v>
      </c>
    </row>
    <row r="480" spans="1:1" x14ac:dyDescent="0.25">
      <c r="A480" s="41" t="e">
        <f t="shared" si="40"/>
        <v>#NUM!</v>
      </c>
    </row>
    <row r="481" spans="1:1" x14ac:dyDescent="0.25">
      <c r="A481" s="41" t="e">
        <f t="shared" si="40"/>
        <v>#NUM!</v>
      </c>
    </row>
    <row r="482" spans="1:1" x14ac:dyDescent="0.25">
      <c r="A482" s="41" t="e">
        <f>IF(L202&gt;COUNT($O$2:$O$206),"",INDEX($K$2:$K$206,SMALL($O$2:$O$206,ROW(K202)-2)))</f>
        <v>#REF!</v>
      </c>
    </row>
    <row r="483" spans="1:1" x14ac:dyDescent="0.25">
      <c r="A483" s="41" t="e">
        <f>IF(L203&gt;COUNT($O$2:$O$206),"",INDEX($K$2:$K$206,SMALL($O$2:$O$206,ROW(K203)-2)))</f>
        <v>#REF!</v>
      </c>
    </row>
    <row r="484" spans="1:1" x14ac:dyDescent="0.25">
      <c r="A484" s="41" t="e">
        <f>IF(L204&gt;COUNT($O$2:$O$206),"",INDEX($K$2:$K$206,SMALL($O$2:$O$206,ROW(K204)-2)))</f>
        <v>#REF!</v>
      </c>
    </row>
    <row r="485" spans="1:1" x14ac:dyDescent="0.25">
      <c r="A485" s="41" t="e">
        <f>IF(L205&gt;COUNT($O$2:$O$206),"",INDEX($K$2:$K$206,SMALL($O$2:$O$206,ROW(K205)-2)))</f>
        <v>#REF!</v>
      </c>
    </row>
    <row r="486" spans="1:1" x14ac:dyDescent="0.25">
      <c r="A486" s="41" t="e">
        <f>IF(L206&gt;COUNT($O$2:$O$206),"",INDEX($K$2:$K$206,SMALL($O$2:$O$206,ROW(K206)-2)))</f>
        <v>#REF!</v>
      </c>
    </row>
    <row r="487" spans="1:1" x14ac:dyDescent="0.25"/>
    <row r="488" spans="1:1" x14ac:dyDescent="0.25"/>
    <row r="489" spans="1:1" x14ac:dyDescent="0.25"/>
    <row r="490" spans="1:1" x14ac:dyDescent="0.25"/>
    <row r="491" spans="1:1" x14ac:dyDescent="0.25"/>
    <row r="492" spans="1:1" x14ac:dyDescent="0.25"/>
    <row r="493" spans="1:1" x14ac:dyDescent="0.25"/>
  </sheetData>
  <sheetProtection selectLockedCells="1" selectUnlockedCells="1"/>
  <mergeCells count="231">
    <mergeCell ref="A1:E1"/>
    <mergeCell ref="A2:B2"/>
    <mergeCell ref="C2:E2"/>
    <mergeCell ref="A3:B3"/>
    <mergeCell ref="C3:E3"/>
    <mergeCell ref="A4:B4"/>
    <mergeCell ref="C4:E4"/>
    <mergeCell ref="A5:B5"/>
    <mergeCell ref="C5:E5"/>
    <mergeCell ref="A6:B6"/>
    <mergeCell ref="C6:E6"/>
    <mergeCell ref="A7:B7"/>
    <mergeCell ref="C7:E7"/>
    <mergeCell ref="A8:B8"/>
    <mergeCell ref="C8:E8"/>
    <mergeCell ref="A9:B9"/>
    <mergeCell ref="C9:E9"/>
    <mergeCell ref="A10:B10"/>
    <mergeCell ref="C10:E10"/>
    <mergeCell ref="A11:B11"/>
    <mergeCell ref="C11:E11"/>
    <mergeCell ref="A12:A23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C22:D22"/>
    <mergeCell ref="C23:E23"/>
    <mergeCell ref="P23:Q23"/>
    <mergeCell ref="A24:E24"/>
    <mergeCell ref="A25:E25"/>
    <mergeCell ref="A26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E43"/>
    <mergeCell ref="A44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E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E77"/>
    <mergeCell ref="A78:C78"/>
    <mergeCell ref="D78:E78"/>
    <mergeCell ref="A79:B87"/>
    <mergeCell ref="C79:D79"/>
    <mergeCell ref="C80:D80"/>
    <mergeCell ref="C81:D81"/>
    <mergeCell ref="C82:D82"/>
    <mergeCell ref="C83:D83"/>
    <mergeCell ref="C84:D84"/>
    <mergeCell ref="C85:D85"/>
    <mergeCell ref="C86:D86"/>
    <mergeCell ref="A88:B95"/>
    <mergeCell ref="C88:D88"/>
    <mergeCell ref="C89:D89"/>
    <mergeCell ref="C90:D90"/>
    <mergeCell ref="C91:D91"/>
    <mergeCell ref="C92:D92"/>
    <mergeCell ref="C93:D93"/>
    <mergeCell ref="C95:D95"/>
    <mergeCell ref="A96:B106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A107:B123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A124:E124"/>
    <mergeCell ref="A125:B128"/>
    <mergeCell ref="C125:D125"/>
    <mergeCell ref="C126:D126"/>
    <mergeCell ref="C127:D127"/>
    <mergeCell ref="C128:D128"/>
    <mergeCell ref="A129:C129"/>
    <mergeCell ref="A130:E130"/>
    <mergeCell ref="A131:D131"/>
    <mergeCell ref="A132:D132"/>
    <mergeCell ref="A133:C133"/>
    <mergeCell ref="A134:D134"/>
    <mergeCell ref="A135:D135"/>
    <mergeCell ref="A136:C136"/>
    <mergeCell ref="A137:C137"/>
    <mergeCell ref="A138:D138"/>
    <mergeCell ref="A139:D139"/>
    <mergeCell ref="A140:B140"/>
    <mergeCell ref="C140:E140"/>
    <mergeCell ref="A141:B144"/>
    <mergeCell ref="C141:D141"/>
    <mergeCell ref="C142:D142"/>
    <mergeCell ref="C143:D143"/>
    <mergeCell ref="A145:E145"/>
    <mergeCell ref="A146:D146"/>
    <mergeCell ref="A147:D147"/>
    <mergeCell ref="A148:C148"/>
    <mergeCell ref="A149:C149"/>
    <mergeCell ref="A150:C152"/>
    <mergeCell ref="P150:Q151"/>
    <mergeCell ref="A153:E153"/>
    <mergeCell ref="A154:D154"/>
    <mergeCell ref="A155:C155"/>
    <mergeCell ref="A156:C156"/>
    <mergeCell ref="A157:A163"/>
    <mergeCell ref="B157:D157"/>
    <mergeCell ref="B158:D158"/>
    <mergeCell ref="B159:D159"/>
    <mergeCell ref="B160:D160"/>
    <mergeCell ref="B161:D161"/>
    <mergeCell ref="B162:D162"/>
    <mergeCell ref="C163:D163"/>
    <mergeCell ref="A164:E164"/>
    <mergeCell ref="A165:A171"/>
    <mergeCell ref="B165:D165"/>
    <mergeCell ref="B166:D166"/>
    <mergeCell ref="B167:D167"/>
    <mergeCell ref="B168:D168"/>
    <mergeCell ref="B169:D169"/>
    <mergeCell ref="B170:D170"/>
    <mergeCell ref="C171:D171"/>
    <mergeCell ref="A172:E172"/>
    <mergeCell ref="A173:B180"/>
    <mergeCell ref="D173:E173"/>
    <mergeCell ref="C174:E174"/>
    <mergeCell ref="C175:D175"/>
    <mergeCell ref="C176:D176"/>
    <mergeCell ref="C177:D177"/>
    <mergeCell ref="C178:D178"/>
    <mergeCell ref="C179:D179"/>
    <mergeCell ref="A181:E181"/>
    <mergeCell ref="A182:D182"/>
    <mergeCell ref="A183:D183"/>
    <mergeCell ref="A184:D184"/>
    <mergeCell ref="A185:A192"/>
    <mergeCell ref="B185:D185"/>
    <mergeCell ref="B186:D186"/>
    <mergeCell ref="B187:D187"/>
    <mergeCell ref="B188:D188"/>
    <mergeCell ref="B189:D189"/>
    <mergeCell ref="B190:D190"/>
    <mergeCell ref="B191:D191"/>
    <mergeCell ref="B192:D192"/>
    <mergeCell ref="A193:A201"/>
    <mergeCell ref="B193:D193"/>
    <mergeCell ref="B194:D194"/>
    <mergeCell ref="B195:D195"/>
    <mergeCell ref="B196:D196"/>
    <mergeCell ref="B197:D197"/>
    <mergeCell ref="B198:D198"/>
    <mergeCell ref="B199:D199"/>
    <mergeCell ref="C200:D200"/>
    <mergeCell ref="B201:C201"/>
    <mergeCell ref="D201:E201"/>
    <mergeCell ref="A202:A205"/>
    <mergeCell ref="B202:C202"/>
    <mergeCell ref="D202:E202"/>
    <mergeCell ref="B203:C203"/>
    <mergeCell ref="D203:E203"/>
    <mergeCell ref="B204:C204"/>
    <mergeCell ref="A209:E209"/>
    <mergeCell ref="D204:E204"/>
    <mergeCell ref="B205:C205"/>
    <mergeCell ref="D205:E205"/>
    <mergeCell ref="A206:D206"/>
    <mergeCell ref="A207:E207"/>
    <mergeCell ref="A208:E208"/>
  </mergeCells>
  <conditionalFormatting sqref="C2:E8 C22:D22 C28:E42 C46:E60 C163:D163 C171:D171 C200:D200 D87 D94 D106 D123 D144 D180 D201 C10:E10">
    <cfRule type="cellIs" dxfId="169" priority="1" stopIfTrue="1" operator="equal">
      <formula>0</formula>
    </cfRule>
  </conditionalFormatting>
  <conditionalFormatting sqref="D129">
    <cfRule type="cellIs" dxfId="168" priority="2" stopIfTrue="1" operator="equal">
      <formula>0</formula>
    </cfRule>
  </conditionalFormatting>
  <conditionalFormatting sqref="D133">
    <cfRule type="cellIs" dxfId="167" priority="3" stopIfTrue="1" operator="equal">
      <formula>0</formula>
    </cfRule>
  </conditionalFormatting>
  <conditionalFormatting sqref="D148">
    <cfRule type="cellIs" dxfId="166" priority="4" stopIfTrue="1" operator="equal">
      <formula>0</formula>
    </cfRule>
  </conditionalFormatting>
  <conditionalFormatting sqref="E12:E22">
    <cfRule type="cellIs" dxfId="165" priority="5" stopIfTrue="1" operator="equal">
      <formula>"нет"</formula>
    </cfRule>
  </conditionalFormatting>
  <conditionalFormatting sqref="E79:E123">
    <cfRule type="cellIs" dxfId="164" priority="6" stopIfTrue="1" operator="equal">
      <formula>""--"выберите"--""</formula>
    </cfRule>
  </conditionalFormatting>
  <conditionalFormatting sqref="E129">
    <cfRule type="cellIs" dxfId="163" priority="7" stopIfTrue="1" operator="equal">
      <formula>0</formula>
    </cfRule>
    <cfRule type="cellIs" dxfId="162" priority="8" stopIfTrue="1" operator="equal">
      <formula>"___%"</formula>
    </cfRule>
  </conditionalFormatting>
  <conditionalFormatting sqref="E131:E132">
    <cfRule type="cellIs" dxfId="161" priority="9" stopIfTrue="1" operator="equal">
      <formula>0</formula>
    </cfRule>
    <cfRule type="cellIs" dxfId="160" priority="10" stopIfTrue="1" operator="equal">
      <formula>"___%"</formula>
    </cfRule>
  </conditionalFormatting>
  <conditionalFormatting sqref="E133">
    <cfRule type="cellIs" dxfId="159" priority="11" stopIfTrue="1" operator="equal">
      <formula>"___%"</formula>
    </cfRule>
    <cfRule type="cellIs" dxfId="158" priority="12" stopIfTrue="1" operator="equal">
      <formula>NA()</formula>
    </cfRule>
  </conditionalFormatting>
  <conditionalFormatting sqref="E134">
    <cfRule type="cellIs" dxfId="157" priority="13" stopIfTrue="1" operator="equal">
      <formula>"___%"</formula>
    </cfRule>
    <cfRule type="cellIs" dxfId="156" priority="14" stopIfTrue="1" operator="equal">
      <formula>NA()</formula>
    </cfRule>
  </conditionalFormatting>
  <conditionalFormatting sqref="E136">
    <cfRule type="cellIs" dxfId="155" priority="15" stopIfTrue="1" operator="equal">
      <formula>"___%"</formula>
    </cfRule>
    <cfRule type="cellIs" dxfId="154" priority="16" stopIfTrue="1" operator="equal">
      <formula>NA()</formula>
    </cfRule>
  </conditionalFormatting>
  <conditionalFormatting sqref="E137:E139">
    <cfRule type="cellIs" dxfId="153" priority="17" stopIfTrue="1" operator="equal">
      <formula>"___%"</formula>
    </cfRule>
    <cfRule type="cellIs" dxfId="152" priority="18" stopIfTrue="1" operator="equal">
      <formula>NA()</formula>
    </cfRule>
  </conditionalFormatting>
  <conditionalFormatting sqref="E141:E144">
    <cfRule type="cellIs" dxfId="151" priority="19" stopIfTrue="1" operator="equal">
      <formula>""--"выберите"--""</formula>
    </cfRule>
  </conditionalFormatting>
  <conditionalFormatting sqref="E148:E149">
    <cfRule type="cellIs" dxfId="150" priority="20" stopIfTrue="1" operator="equal">
      <formula>"___%"</formula>
    </cfRule>
    <cfRule type="cellIs" dxfId="149" priority="21" stopIfTrue="1" operator="equal">
      <formula>NA()</formula>
    </cfRule>
  </conditionalFormatting>
  <conditionalFormatting sqref="E154:E156 E161:E162 E169:E170">
    <cfRule type="cellIs" dxfId="148" priority="22" stopIfTrue="1" operator="equal">
      <formula>"___%"</formula>
    </cfRule>
    <cfRule type="cellIs" dxfId="147" priority="23" stopIfTrue="1" operator="equal">
      <formula>NA()</formula>
    </cfRule>
  </conditionalFormatting>
  <conditionalFormatting sqref="E157:E159 E165:E167">
    <cfRule type="cellIs" dxfId="146" priority="24" stopIfTrue="1" operator="equal">
      <formula>"___%"</formula>
    </cfRule>
    <cfRule type="cellIs" dxfId="145" priority="25" stopIfTrue="1" operator="equal">
      <formula>NA()</formula>
    </cfRule>
  </conditionalFormatting>
  <conditionalFormatting sqref="E160 E168">
    <cfRule type="cellIs" dxfId="144" priority="26" stopIfTrue="1" operator="equal">
      <formula>"___%"</formula>
    </cfRule>
    <cfRule type="cellIs" dxfId="143" priority="27" stopIfTrue="1" operator="equal">
      <formula>NA()</formula>
    </cfRule>
  </conditionalFormatting>
  <conditionalFormatting sqref="E175">
    <cfRule type="cellIs" dxfId="142" priority="28" stopIfTrue="1" operator="equal">
      <formula>0</formula>
    </cfRule>
  </conditionalFormatting>
  <conditionalFormatting sqref="E176:E180">
    <cfRule type="cellIs" dxfId="141" priority="29" stopIfTrue="1" operator="equal">
      <formula>0</formula>
    </cfRule>
  </conditionalFormatting>
  <conditionalFormatting sqref="E163 E171">
    <cfRule type="cellIs" dxfId="140" priority="30" stopIfTrue="1" operator="equal">
      <formula>"___%"</formula>
    </cfRule>
    <cfRule type="cellIs" dxfId="139" priority="31" stopIfTrue="1" operator="equal">
      <formula>NA()</formula>
    </cfRule>
  </conditionalFormatting>
  <conditionalFormatting sqref="E193:E200">
    <cfRule type="expression" dxfId="138" priority="32" stopIfTrue="1">
      <formula>NOT(ISERROR(SEARCH("выберите",C193)))</formula>
    </cfRule>
  </conditionalFormatting>
  <conditionalFormatting sqref="C11:E11">
    <cfRule type="cellIs" dxfId="137" priority="33" stopIfTrue="1" operator="equal">
      <formula>0</formula>
    </cfRule>
  </conditionalFormatting>
  <dataValidations count="12">
    <dataValidation type="list" operator="equal" allowBlank="1" showErrorMessage="1" errorTitle="Ошибка" error="Данные можно выбрать только из списка" sqref="E12:E22 E79:E123">
      <formula1>Выбор</formula1>
      <formula2>0</formula2>
    </dataValidation>
    <dataValidation type="list" operator="equal" allowBlank="1" showErrorMessage="1" sqref="C23:E23 D78:E78">
      <formula1>#N/A</formula1>
      <formula2>0</formula2>
    </dataValidation>
    <dataValidation type="list" operator="equal" allowBlank="1" showErrorMessage="1" sqref="C63:E76">
      <formula1>геогр</formula1>
      <formula2>0</formula2>
    </dataValidation>
    <dataValidation type="list" operator="equal" allowBlank="1" showErrorMessage="1" sqref="E135 E141:E144 E175:E180 E206">
      <formula1>Выбор</formula1>
      <formula2>0</formula2>
    </dataValidation>
    <dataValidation type="list" operator="equal" allowBlank="1" showErrorMessage="1" sqref="D129 D133 D136:D137 D148:D149 D155:D156">
      <formula1>динамика</formula1>
      <formula2>0</formula2>
    </dataValidation>
    <dataValidation type="list" operator="equal" allowBlank="1" showErrorMessage="1" sqref="E146">
      <formula1>выручка</formula1>
      <formula2>0</formula2>
    </dataValidation>
    <dataValidation type="list" operator="equal" allowBlank="1" showErrorMessage="1" sqref="D173:E173">
      <formula1>приоритет</formula1>
      <formula2>0</formula2>
    </dataValidation>
    <dataValidation type="list" operator="equal" allowBlank="1" showErrorMessage="1" sqref="E182:E183">
      <formula1>динамика_лучше</formula1>
      <formula2>0</formula2>
    </dataValidation>
    <dataValidation type="list" operator="equal" allowBlank="1" showErrorMessage="1" sqref="E184:E192">
      <formula1>оценка</formula1>
      <formula2>0</formula2>
    </dataValidation>
    <dataValidation type="list" operator="equal" allowBlank="1" showErrorMessage="1" sqref="D202:E205">
      <formula1>воздействие</formula1>
      <formula2>0</formula2>
    </dataValidation>
    <dataValidation type="list" operator="equal" allowBlank="1" showErrorMessage="1" sqref="E150:E152">
      <formula1>ИНВЕСТИЦИИ</formula1>
      <formula2>0</formula2>
    </dataValidation>
    <dataValidation type="list" operator="equal" allowBlank="1" showErrorMessage="1" sqref="E193:E200">
      <formula1>значимость</formula1>
      <formula2>0</formula2>
    </dataValidation>
  </dataValidations>
  <hyperlinks>
    <hyperlink ref="A208" r:id="rId1"/>
  </hyperlinks>
  <pageMargins left="0.51180555555555551" right="0.51180555555555551" top="0.74861111111111112" bottom="0.74861111111111112" header="0.31527777777777777" footer="0.31527777777777777"/>
  <pageSetup paperSize="9" scale="87" firstPageNumber="0" orientation="portrait" horizontalDpi="300" verticalDpi="300"/>
  <headerFooter alignWithMargins="0">
    <oddHeader>&amp;C&amp;"Calibri,Обычный"&amp;11Анкета 13-го ежегодного исследования рынка ПО</oddHeader>
    <oddFooter>&amp;C&amp;"Calibri,Обычный"&amp;11НП "РУССОФТ", 2016 год
стр. &amp;P из &amp;N</oddFooter>
  </headerFooter>
  <rowBreaks count="3" manualBreakCount="3">
    <brk id="23" max="16383" man="1"/>
    <brk id="106" max="16383" man="1"/>
    <brk id="14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AD497"/>
  <sheetViews>
    <sheetView zoomScaleSheetLayoutView="100" workbookViewId="0">
      <pane ySplit="1" topLeftCell="A8" activePane="bottomLeft" state="frozen"/>
      <selection pane="bottomLeft" activeCell="E10" sqref="E10"/>
    </sheetView>
  </sheetViews>
  <sheetFormatPr defaultColWidth="8.7109375" defaultRowHeight="15" zeroHeight="1" x14ac:dyDescent="0.25"/>
  <cols>
    <col min="1" max="1" width="25.42578125" style="46" customWidth="1"/>
    <col min="2" max="2" width="17.42578125" style="46" customWidth="1"/>
    <col min="3" max="3" width="21.5703125" style="59" customWidth="1"/>
    <col min="4" max="4" width="20.85546875" style="59" customWidth="1"/>
    <col min="5" max="5" width="17.7109375" style="59" customWidth="1"/>
    <col min="6" max="6" width="7.140625" style="59" customWidth="1"/>
    <col min="7" max="7" width="9" style="2" hidden="1" customWidth="1"/>
    <col min="8" max="9" width="9" style="60" hidden="1" customWidth="1"/>
    <col min="10" max="11" width="9" style="46" hidden="1" customWidth="1"/>
    <col min="12" max="12" width="9" style="4" hidden="1" customWidth="1"/>
    <col min="13" max="13" width="8.7109375" style="46" hidden="1" customWidth="1"/>
    <col min="14" max="14" width="15.85546875" style="46" hidden="1" customWidth="1"/>
    <col min="15" max="28" width="8.7109375" style="46" hidden="1" customWidth="1"/>
    <col min="29" max="30" width="8.7109375" style="46" customWidth="1"/>
    <col min="31" max="16384" width="8.7109375" style="1"/>
  </cols>
  <sheetData>
    <row r="1" spans="1:12" s="62" customFormat="1" ht="35.25" customHeight="1" x14ac:dyDescent="0.25">
      <c r="A1" s="67" t="s">
        <v>272</v>
      </c>
      <c r="D1" s="63"/>
      <c r="E1" s="64" t="str">
        <f>IF(A16=" ","Продолжить заполнение анкеты"," ")</f>
        <v xml:space="preserve"> </v>
      </c>
      <c r="F1" s="65"/>
      <c r="G1" s="66"/>
      <c r="H1" s="66"/>
    </row>
    <row r="2" spans="1:12" x14ac:dyDescent="0.25"/>
    <row r="3" spans="1:12" ht="15" customHeight="1" x14ac:dyDescent="0.25">
      <c r="A3" s="202" t="s">
        <v>167</v>
      </c>
      <c r="B3" s="202"/>
      <c r="C3" s="202"/>
      <c r="D3" s="202"/>
      <c r="E3" s="202"/>
      <c r="F3" s="93"/>
      <c r="G3" s="2" t="s">
        <v>6</v>
      </c>
    </row>
    <row r="4" spans="1:12" ht="29.85" customHeight="1" x14ac:dyDescent="0.25">
      <c r="A4" s="156" t="s">
        <v>313</v>
      </c>
      <c r="B4" s="156"/>
      <c r="C4" s="156"/>
      <c r="D4" s="156"/>
      <c r="E4" s="68" t="s">
        <v>314</v>
      </c>
      <c r="F4" s="94" t="s">
        <v>315</v>
      </c>
      <c r="L4" s="4" t="str">
        <f>IF(E4="?","Вы не предоставили данные о количестве сотрудников на конец 2018 года - строка 4 вопрос №21"," ")</f>
        <v>Вы не предоставили данные о количестве сотрудников на конец 2018 года - строка 4 вопрос №21</v>
      </c>
    </row>
    <row r="5" spans="1:12" ht="33.75" customHeight="1" x14ac:dyDescent="0.25">
      <c r="A5" s="156" t="s">
        <v>316</v>
      </c>
      <c r="B5" s="156"/>
      <c r="C5" s="156"/>
      <c r="D5" s="156"/>
      <c r="E5" s="68" t="s">
        <v>314</v>
      </c>
      <c r="F5" s="94" t="s">
        <v>315</v>
      </c>
      <c r="L5" s="4" t="str">
        <f>IF(E5="?","Вы не указали численность профильных сотрудников вашей компании на конец 2018 г. - строка 5 вопрос №22"," ")</f>
        <v>Вы не указали численность профильных сотрудников вашей компании на конец 2018 г. - строка 5 вопрос №22</v>
      </c>
    </row>
    <row r="6" spans="1:12" ht="62.25" customHeight="1" x14ac:dyDescent="0.25">
      <c r="A6" s="156" t="s">
        <v>317</v>
      </c>
      <c r="B6" s="156"/>
      <c r="C6" s="156"/>
      <c r="D6" s="156"/>
      <c r="E6" s="68" t="s">
        <v>314</v>
      </c>
      <c r="F6" s="94" t="s">
        <v>176</v>
      </c>
      <c r="L6" s="4" t="str">
        <f>IF(E6="?","Вы не указали долю профильных технических сотрудников вашей компании в др. городах РФ - строка 6 вопрос №23"," ")</f>
        <v>Вы не указали долю профильных технических сотрудников вашей компании в др. городах РФ - строка 6 вопрос №23</v>
      </c>
    </row>
    <row r="7" spans="1:12" ht="46.5" customHeight="1" x14ac:dyDescent="0.25">
      <c r="A7" s="156" t="s">
        <v>318</v>
      </c>
      <c r="B7" s="156"/>
      <c r="C7" s="156"/>
      <c r="D7" s="156"/>
      <c r="E7" s="68" t="s">
        <v>314</v>
      </c>
      <c r="F7" s="94" t="s">
        <v>176</v>
      </c>
      <c r="L7" s="4" t="str">
        <f>IF(E7="?","Вы не указали долю профильных технических сотрудников вашей компании за пределами РФ - строка 7 вопрос №24"," ")</f>
        <v>Вы не указали долю профильных технических сотрудников вашей компании за пределами РФ - строка 7 вопрос №24</v>
      </c>
    </row>
    <row r="8" spans="1:12" ht="30.75" customHeight="1" x14ac:dyDescent="0.25">
      <c r="A8" s="156" t="s">
        <v>319</v>
      </c>
      <c r="B8" s="156"/>
      <c r="C8" s="156"/>
      <c r="D8" s="85" t="s">
        <v>6</v>
      </c>
      <c r="E8" s="68" t="s">
        <v>314</v>
      </c>
      <c r="F8" s="94" t="s">
        <v>176</v>
      </c>
      <c r="H8" s="60">
        <f>IF(D8="увеличение",1,IF(D8="уменьшение",1,0))</f>
        <v>0</v>
      </c>
      <c r="I8" s="60">
        <f>IF(D8="-- выберите --",0,IF(H8=1,1,2))</f>
        <v>0</v>
      </c>
      <c r="J8" s="46">
        <f>IF(E8="?",0,IF(E8=0,0,IF(E8=" ",0,1)))</f>
        <v>0</v>
      </c>
      <c r="L8" s="4" t="str">
        <f>IF(I8=0,"Вы не указали тенденцию изменения численности сотрудников в течение 2018 года - строка 8 вопрос №25",IF(I8=1,IF(J8=0,"Вы не указали % изменения количества сотрудников в 2018 году - строка 8 вопрос №25"," ")," "))</f>
        <v>Вы не указали тенденцию изменения численности сотрудников в течение 2018 года - строка 8 вопрос №25</v>
      </c>
    </row>
    <row r="9" spans="1:12" ht="29.25" customHeight="1" x14ac:dyDescent="0.25">
      <c r="A9" s="156" t="s">
        <v>320</v>
      </c>
      <c r="B9" s="156" t="s">
        <v>176</v>
      </c>
      <c r="C9" s="156"/>
      <c r="D9" s="156"/>
      <c r="E9" s="68" t="s">
        <v>314</v>
      </c>
      <c r="F9" s="94" t="s">
        <v>176</v>
      </c>
      <c r="J9" s="26"/>
      <c r="L9" s="4" t="str">
        <f>IF(E9="?","Вы не предоставили данные о доле новых сотрудников, прибывших из-за рубежа - строка 9 вопрос №26"," ")</f>
        <v>Вы не предоставили данные о доле новых сотрудников, прибывших из-за рубежа - строка 9 вопрос №26</v>
      </c>
    </row>
    <row r="10" spans="1:12" ht="15" customHeight="1" x14ac:dyDescent="0.25">
      <c r="A10" s="156" t="s">
        <v>321</v>
      </c>
      <c r="B10" s="156"/>
      <c r="C10" s="156"/>
      <c r="D10" s="156"/>
      <c r="E10" s="205" t="s">
        <v>6</v>
      </c>
      <c r="F10" s="205"/>
      <c r="I10" s="95"/>
      <c r="J10" s="26"/>
      <c r="L10" s="4" t="str">
        <f>IF(E10="-- выберите --","Вы не ответили на вопрос о миграции сотрудников - строка 10 вопрос №27"," ")</f>
        <v>Вы не ответили на вопрос о миграции сотрудников - строка 10 вопрос №27</v>
      </c>
    </row>
    <row r="11" spans="1:12" ht="32.25" customHeight="1" x14ac:dyDescent="0.25">
      <c r="A11" s="156" t="s">
        <v>322</v>
      </c>
      <c r="B11" s="156"/>
      <c r="C11" s="156"/>
      <c r="D11" s="85" t="s">
        <v>6</v>
      </c>
      <c r="E11" s="68" t="s">
        <v>314</v>
      </c>
      <c r="F11" s="94" t="s">
        <v>176</v>
      </c>
      <c r="H11" s="60">
        <f>IF(D11="увеличение",1,IF(D11="уменьшение",1,0))</f>
        <v>0</v>
      </c>
      <c r="I11" s="60">
        <f>IF(D11="-- выберите --",0,IF(H11=1,1,2))</f>
        <v>0</v>
      </c>
      <c r="J11" s="46">
        <f>IF(E11="?",0,IF(E11=0,0,IF(E11=" ",0,1)))</f>
        <v>0</v>
      </c>
      <c r="L11" s="4" t="str">
        <f>IF(I11=0,"Вы не указали тенденцию изменения численности сотрудников в течение 2019 года - строка 11 вопрос №28",IF(I11=1,IF(J11=0,"Вы не указали % изменения количества сотрудников в 2019 году - строка 11 вопрос №28"," ")," "))</f>
        <v>Вы не указали тенденцию изменения численности сотрудников в течение 2019 года - строка 11 вопрос №28</v>
      </c>
    </row>
    <row r="12" spans="1:12" ht="44.25" customHeight="1" x14ac:dyDescent="0.25">
      <c r="A12" s="156" t="s">
        <v>323</v>
      </c>
      <c r="B12" s="156"/>
      <c r="C12" s="156"/>
      <c r="D12" s="85" t="s">
        <v>6</v>
      </c>
      <c r="E12" s="68" t="s">
        <v>314</v>
      </c>
      <c r="F12" s="94" t="s">
        <v>176</v>
      </c>
      <c r="H12" s="60">
        <f>IF(D12="увеличение",1,IF(D12="уменьшение",1,0))</f>
        <v>0</v>
      </c>
      <c r="I12" s="60">
        <f>IF(D12="-- выберите --",0,IF(H12=1,1,2))</f>
        <v>0</v>
      </c>
      <c r="J12" s="46">
        <f>IF(E12="?",0,IF(E12=0,0,IF(E12=" ",0,1)))</f>
        <v>0</v>
      </c>
      <c r="L12" s="4" t="str">
        <f>IF(I12=0,"Вы не указали тенденцию изменения уровня зарплаты в 2018 году - строка 12 вопрос №29",IF(I12=1,IF(J12=0,"Вы не указали % изменения уровня зарплаты в  2018 году - строка 12 вопрос №29"," ")," "))</f>
        <v>Вы не указали тенденцию изменения уровня зарплаты в 2018 году - строка 12 вопрос №29</v>
      </c>
    </row>
    <row r="13" spans="1:12" ht="49.9" customHeight="1" x14ac:dyDescent="0.25">
      <c r="A13" s="172" t="s">
        <v>324</v>
      </c>
      <c r="B13" s="172"/>
      <c r="C13" s="172"/>
      <c r="D13" s="172"/>
      <c r="E13" s="68" t="s">
        <v>314</v>
      </c>
      <c r="F13" s="96" t="s">
        <v>176</v>
      </c>
      <c r="L13" s="4" t="str">
        <f>IF(E13="?","Вы не ответили на вопрос о % сотрудников, покинувших компанию - строка 13 вопрос №30"," ")</f>
        <v>Вы не ответили на вопрос о % сотрудников, покинувших компанию - строка 13 вопрос №30</v>
      </c>
    </row>
    <row r="14" spans="1:12" ht="30" customHeight="1" x14ac:dyDescent="0.25">
      <c r="A14" s="156" t="s">
        <v>325</v>
      </c>
      <c r="B14" s="156"/>
      <c r="C14" s="156"/>
      <c r="D14" s="156"/>
      <c r="E14" s="68" t="s">
        <v>314</v>
      </c>
      <c r="F14" s="94" t="s">
        <v>176</v>
      </c>
      <c r="L14" s="4" t="str">
        <f>IF(E14="?","Вы не ответили на вопрос о % выпускников, принятых в компанию - строка 14 вопрос №31"," ")</f>
        <v>Вы не ответили на вопрос о % выпускников, принятых в компанию - строка 14 вопрос №31</v>
      </c>
    </row>
    <row r="15" spans="1:12" x14ac:dyDescent="0.25"/>
    <row r="16" spans="1:12" ht="15.75" customHeight="1" x14ac:dyDescent="0.25">
      <c r="A16" s="191" t="str">
        <f>IF(SUM(G17:G27)=0," ","Замечания по заполнению анкеты")</f>
        <v>Замечания по заполнению анкеты</v>
      </c>
      <c r="B16" s="191"/>
      <c r="C16" s="191"/>
      <c r="D16" s="191"/>
      <c r="E16" s="191"/>
      <c r="F16" s="2"/>
      <c r="G16" s="46"/>
      <c r="I16" s="46"/>
      <c r="K16" s="4"/>
      <c r="L16" s="46"/>
    </row>
    <row r="17" spans="1:12" x14ac:dyDescent="0.25">
      <c r="A17" s="41" t="str">
        <f t="shared" ref="A17:A27" si="0">L4</f>
        <v>Вы не предоставили данные о количестве сотрудников на конец 2018 года - строка 4 вопрос №21</v>
      </c>
      <c r="B17" s="41"/>
      <c r="C17" s="42"/>
      <c r="D17" s="42"/>
      <c r="E17" s="42"/>
      <c r="F17" s="46"/>
      <c r="G17" s="2">
        <f t="shared" ref="G17:G27" si="1">IF(A17=" ",0,1)</f>
        <v>1</v>
      </c>
      <c r="I17" s="46"/>
      <c r="K17" s="4"/>
      <c r="L17" s="46"/>
    </row>
    <row r="18" spans="1:12" x14ac:dyDescent="0.25">
      <c r="A18" s="41" t="str">
        <f t="shared" si="0"/>
        <v>Вы не указали численность профильных сотрудников вашей компании на конец 2018 г. - строка 5 вопрос №22</v>
      </c>
      <c r="B18" s="41"/>
      <c r="C18" s="42"/>
      <c r="D18" s="42"/>
      <c r="E18" s="42"/>
      <c r="F18" s="46"/>
      <c r="G18" s="2">
        <f t="shared" si="1"/>
        <v>1</v>
      </c>
      <c r="I18" s="46"/>
      <c r="K18" s="4"/>
      <c r="L18" s="46"/>
    </row>
    <row r="19" spans="1:12" x14ac:dyDescent="0.25">
      <c r="A19" s="41" t="str">
        <f t="shared" si="0"/>
        <v>Вы не указали долю профильных технических сотрудников вашей компании в др. городах РФ - строка 6 вопрос №23</v>
      </c>
      <c r="B19" s="26"/>
      <c r="C19" s="42"/>
      <c r="D19" s="42"/>
      <c r="E19" s="42"/>
      <c r="F19" s="46"/>
      <c r="G19" s="2">
        <f t="shared" si="1"/>
        <v>1</v>
      </c>
      <c r="I19" s="46"/>
      <c r="K19" s="4"/>
      <c r="L19" s="46"/>
    </row>
    <row r="20" spans="1:12" x14ac:dyDescent="0.25">
      <c r="A20" s="41" t="str">
        <f t="shared" si="0"/>
        <v>Вы не указали долю профильных технических сотрудников вашей компании за пределами РФ - строка 7 вопрос №24</v>
      </c>
      <c r="F20" s="46"/>
      <c r="G20" s="2">
        <f t="shared" si="1"/>
        <v>1</v>
      </c>
      <c r="H20" s="46"/>
      <c r="I20" s="46"/>
      <c r="L20" s="46"/>
    </row>
    <row r="21" spans="1:12" x14ac:dyDescent="0.25">
      <c r="A21" s="41" t="str">
        <f t="shared" si="0"/>
        <v>Вы не указали тенденцию изменения численности сотрудников в течение 2018 года - строка 8 вопрос №25</v>
      </c>
      <c r="F21" s="46"/>
      <c r="G21" s="2">
        <f t="shared" si="1"/>
        <v>1</v>
      </c>
      <c r="H21" s="46"/>
      <c r="I21" s="46"/>
      <c r="L21" s="46"/>
    </row>
    <row r="22" spans="1:12" x14ac:dyDescent="0.25">
      <c r="A22" s="41" t="str">
        <f t="shared" si="0"/>
        <v>Вы не предоставили данные о доле новых сотрудников, прибывших из-за рубежа - строка 9 вопрос №26</v>
      </c>
      <c r="F22" s="46"/>
      <c r="G22" s="2">
        <f t="shared" si="1"/>
        <v>1</v>
      </c>
      <c r="H22" s="46"/>
      <c r="I22" s="46"/>
      <c r="L22" s="46"/>
    </row>
    <row r="23" spans="1:12" x14ac:dyDescent="0.25">
      <c r="A23" s="41" t="str">
        <f t="shared" si="0"/>
        <v>Вы не ответили на вопрос о миграции сотрудников - строка 10 вопрос №27</v>
      </c>
      <c r="F23" s="46"/>
      <c r="G23" s="2">
        <f t="shared" si="1"/>
        <v>1</v>
      </c>
      <c r="H23" s="46"/>
      <c r="I23" s="46"/>
      <c r="L23" s="46"/>
    </row>
    <row r="24" spans="1:12" x14ac:dyDescent="0.25">
      <c r="A24" s="41" t="str">
        <f t="shared" si="0"/>
        <v>Вы не указали тенденцию изменения численности сотрудников в течение 2019 года - строка 11 вопрос №28</v>
      </c>
      <c r="F24" s="2"/>
      <c r="G24" s="2">
        <f t="shared" si="1"/>
        <v>1</v>
      </c>
      <c r="H24" s="46"/>
      <c r="I24" s="46"/>
      <c r="L24" s="46"/>
    </row>
    <row r="25" spans="1:12" x14ac:dyDescent="0.25">
      <c r="A25" s="41" t="str">
        <f t="shared" si="0"/>
        <v>Вы не указали тенденцию изменения уровня зарплаты в 2018 году - строка 12 вопрос №29</v>
      </c>
      <c r="G25" s="2">
        <f t="shared" si="1"/>
        <v>1</v>
      </c>
    </row>
    <row r="26" spans="1:12" x14ac:dyDescent="0.25">
      <c r="A26" s="41" t="str">
        <f t="shared" si="0"/>
        <v>Вы не ответили на вопрос о % сотрудников, покинувших компанию - строка 13 вопрос №30</v>
      </c>
      <c r="G26" s="2">
        <f t="shared" si="1"/>
        <v>1</v>
      </c>
    </row>
    <row r="27" spans="1:12" x14ac:dyDescent="0.25">
      <c r="A27" s="41" t="str">
        <f t="shared" si="0"/>
        <v>Вы не ответили на вопрос о % выпускников, принятых в компанию - строка 14 вопрос №31</v>
      </c>
      <c r="G27" s="2">
        <f t="shared" si="1"/>
        <v>1</v>
      </c>
    </row>
    <row r="28" spans="1:12" x14ac:dyDescent="0.25"/>
    <row r="29" spans="1:12" x14ac:dyDescent="0.25"/>
    <row r="30" spans="1:12" x14ac:dyDescent="0.25"/>
    <row r="31" spans="1:12" x14ac:dyDescent="0.25"/>
    <row r="32" spans="1:1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</sheetData>
  <sheetProtection selectLockedCells="1" selectUnlockedCells="1"/>
  <mergeCells count="14">
    <mergeCell ref="A3:E3"/>
    <mergeCell ref="A4:D4"/>
    <mergeCell ref="A5:D5"/>
    <mergeCell ref="A6:D6"/>
    <mergeCell ref="A7:D7"/>
    <mergeCell ref="A8:C8"/>
    <mergeCell ref="A14:D14"/>
    <mergeCell ref="A16:E16"/>
    <mergeCell ref="A9:D9"/>
    <mergeCell ref="A10:D10"/>
    <mergeCell ref="E10:F10"/>
    <mergeCell ref="A11:C11"/>
    <mergeCell ref="A12:C12"/>
    <mergeCell ref="A13:D13"/>
  </mergeCells>
  <conditionalFormatting sqref="F4:F5">
    <cfRule type="cellIs" dxfId="89" priority="1" stopIfTrue="1" operator="equal">
      <formula>0</formula>
    </cfRule>
    <cfRule type="cellIs" dxfId="88" priority="2" stopIfTrue="1" operator="equal">
      <formula>"___%"</formula>
    </cfRule>
  </conditionalFormatting>
  <conditionalFormatting sqref="F8">
    <cfRule type="cellIs" dxfId="87" priority="3" stopIfTrue="1" operator="equal">
      <formula>"___%"</formula>
    </cfRule>
    <cfRule type="cellIs" dxfId="86" priority="4" stopIfTrue="1" operator="equal">
      <formula>NA()</formula>
    </cfRule>
  </conditionalFormatting>
  <conditionalFormatting sqref="F9">
    <cfRule type="cellIs" dxfId="85" priority="5" stopIfTrue="1" operator="equal">
      <formula>"___%"</formula>
    </cfRule>
    <cfRule type="cellIs" dxfId="84" priority="6" stopIfTrue="1" operator="equal">
      <formula>NA()</formula>
    </cfRule>
  </conditionalFormatting>
  <conditionalFormatting sqref="F11">
    <cfRule type="cellIs" dxfId="83" priority="7" stopIfTrue="1" operator="equal">
      <formula>"___%"</formula>
    </cfRule>
    <cfRule type="cellIs" dxfId="82" priority="8" stopIfTrue="1" operator="equal">
      <formula>NA()</formula>
    </cfRule>
  </conditionalFormatting>
  <conditionalFormatting sqref="F12:F14">
    <cfRule type="cellIs" dxfId="81" priority="9" stopIfTrue="1" operator="equal">
      <formula>"___%"</formula>
    </cfRule>
    <cfRule type="cellIs" dxfId="80" priority="10" stopIfTrue="1" operator="equal">
      <formula>NA()</formula>
    </cfRule>
  </conditionalFormatting>
  <conditionalFormatting sqref="F6:F7">
    <cfRule type="cellIs" dxfId="79" priority="11" stopIfTrue="1" operator="equal">
      <formula>"___%"</formula>
    </cfRule>
    <cfRule type="cellIs" dxfId="78" priority="12" stopIfTrue="1" operator="equal">
      <formula>NA()</formula>
    </cfRule>
  </conditionalFormatting>
  <conditionalFormatting sqref="E10:F10 D11:D12">
    <cfRule type="cellIs" dxfId="77" priority="13" stopIfTrue="1" operator="equal">
      <formula>$G$3</formula>
    </cfRule>
  </conditionalFormatting>
  <conditionalFormatting sqref="A16">
    <cfRule type="expression" dxfId="76" priority="14" stopIfTrue="1">
      <formula>NOT(ISERROR(SEARCH("ДАЛЕЕ",A16)))</formula>
    </cfRule>
  </conditionalFormatting>
  <conditionalFormatting sqref="A16:E16">
    <cfRule type="expression" dxfId="75" priority="15" stopIfTrue="1">
      <formula>NOT(ISERROR(SEARCH("продолжить",A16)))</formula>
    </cfRule>
  </conditionalFormatting>
  <conditionalFormatting sqref="D8">
    <cfRule type="cellIs" dxfId="74" priority="16" stopIfTrue="1" operator="equal">
      <formula>$G$3</formula>
    </cfRule>
  </conditionalFormatting>
  <conditionalFormatting sqref="E14">
    <cfRule type="cellIs" dxfId="73" priority="17" stopIfTrue="1" operator="equal">
      <formula>"?"</formula>
    </cfRule>
  </conditionalFormatting>
  <conditionalFormatting sqref="E13">
    <cfRule type="cellIs" dxfId="72" priority="18" stopIfTrue="1" operator="equal">
      <formula>"?"</formula>
    </cfRule>
  </conditionalFormatting>
  <conditionalFormatting sqref="E12">
    <cfRule type="cellIs" dxfId="71" priority="19" stopIfTrue="1" operator="equal">
      <formula>"?"</formula>
    </cfRule>
  </conditionalFormatting>
  <conditionalFormatting sqref="E11">
    <cfRule type="cellIs" dxfId="70" priority="20" stopIfTrue="1" operator="equal">
      <formula>"?"</formula>
    </cfRule>
  </conditionalFormatting>
  <conditionalFormatting sqref="E9">
    <cfRule type="cellIs" dxfId="69" priority="21" stopIfTrue="1" operator="equal">
      <formula>"?"</formula>
    </cfRule>
  </conditionalFormatting>
  <conditionalFormatting sqref="E8">
    <cfRule type="cellIs" dxfId="68" priority="22" stopIfTrue="1" operator="equal">
      <formula>"?"</formula>
    </cfRule>
  </conditionalFormatting>
  <conditionalFormatting sqref="E7">
    <cfRule type="cellIs" dxfId="67" priority="23" stopIfTrue="1" operator="equal">
      <formula>"?"</formula>
    </cfRule>
  </conditionalFormatting>
  <conditionalFormatting sqref="E6">
    <cfRule type="cellIs" dxfId="66" priority="24" stopIfTrue="1" operator="equal">
      <formula>"?"</formula>
    </cfRule>
  </conditionalFormatting>
  <conditionalFormatting sqref="E5">
    <cfRule type="cellIs" dxfId="65" priority="25" stopIfTrue="1" operator="equal">
      <formula>"?"</formula>
    </cfRule>
  </conditionalFormatting>
  <conditionalFormatting sqref="E4">
    <cfRule type="cellIs" dxfId="64" priority="26" stopIfTrue="1" operator="equal">
      <formula>"?"</formula>
    </cfRule>
  </conditionalFormatting>
  <conditionalFormatting sqref="D8 D11:D12 E10:F10">
    <cfRule type="expression" dxfId="63" priority="27" stopIfTrue="1">
      <formula>NOT(ISERROR(SEARCH("выберите --",D8)))</formula>
    </cfRule>
  </conditionalFormatting>
  <conditionalFormatting sqref="E1">
    <cfRule type="expression" dxfId="62" priority="28" stopIfTrue="1">
      <formula>NOT(ISERROR(SEARCH("продолжить",E1)))</formula>
    </cfRule>
  </conditionalFormatting>
  <dataValidations count="2">
    <dataValidation type="list" operator="equal" allowBlank="1" showErrorMessage="1" sqref="E10">
      <formula1>Выбор</formula1>
      <formula2>0</formula2>
    </dataValidation>
    <dataValidation type="list" operator="equal" allowBlank="1" showErrorMessage="1" sqref="D8 D11:D12">
      <formula1>динамика</formula1>
      <formula2>0</formula2>
    </dataValidation>
  </dataValidations>
  <hyperlinks>
    <hyperlink ref="A1" location="описание!A6" display="Вернуться к описанию условий"/>
  </hyperlinks>
  <pageMargins left="0.51180555555555551" right="0.51180555555555551" top="0.74861111111111112" bottom="0.74861111111111112" header="0.31527777777777777" footer="0.31527777777777777"/>
  <pageSetup paperSize="9" scale="82" firstPageNumber="0" orientation="portrait" horizontalDpi="300" verticalDpi="300"/>
  <headerFooter alignWithMargins="0">
    <oddHeader>&amp;C&amp;"Calibri,Обычный"&amp;11Анкета 13-го ежегодного исследования рынка ПО</oddHeader>
    <oddFooter>&amp;C&amp;"Calibri,Обычный"&amp;11НП "РУССОФТ", 2016 год
стр. &amp;P из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AD501"/>
  <sheetViews>
    <sheetView zoomScaleSheetLayoutView="100" workbookViewId="0">
      <pane xSplit="12" ySplit="1" topLeftCell="M2" activePane="bottomRight" state="frozen"/>
      <selection pane="topRight" activeCell="M1" sqref="M1"/>
      <selection pane="bottomLeft" activeCell="A2" sqref="A2"/>
      <selection pane="bottomRight" activeCell="E12" sqref="E12"/>
    </sheetView>
  </sheetViews>
  <sheetFormatPr defaultColWidth="8.7109375" defaultRowHeight="15" zeroHeight="1" x14ac:dyDescent="0.25"/>
  <cols>
    <col min="1" max="1" width="25.42578125" style="46" customWidth="1"/>
    <col min="2" max="2" width="17.42578125" style="46" customWidth="1"/>
    <col min="3" max="3" width="16" style="59" customWidth="1"/>
    <col min="4" max="4" width="24.140625" style="59" customWidth="1"/>
    <col min="5" max="5" width="22.140625" style="59" customWidth="1"/>
    <col min="6" max="6" width="9" style="59" hidden="1" customWidth="1"/>
    <col min="7" max="7" width="9" style="2" hidden="1" customWidth="1"/>
    <col min="8" max="9" width="9" style="60" hidden="1" customWidth="1"/>
    <col min="10" max="11" width="9" style="46" hidden="1" customWidth="1"/>
    <col min="12" max="12" width="9" style="4" hidden="1" customWidth="1"/>
    <col min="13" max="16" width="9" style="46" customWidth="1"/>
    <col min="17" max="17" width="8.7109375" style="46" customWidth="1"/>
    <col min="18" max="18" width="15.85546875" style="46" customWidth="1"/>
    <col min="19" max="30" width="8.7109375" style="46" customWidth="1"/>
    <col min="31" max="16384" width="8.7109375" style="1"/>
  </cols>
  <sheetData>
    <row r="1" spans="1:12" s="62" customFormat="1" ht="35.25" customHeight="1" x14ac:dyDescent="0.25">
      <c r="A1" s="67" t="s">
        <v>272</v>
      </c>
      <c r="D1" s="63"/>
      <c r="E1" s="64" t="str">
        <f>IF(A15=" ","Продолжить заполнение анкеты"," ")</f>
        <v xml:space="preserve"> </v>
      </c>
      <c r="F1" s="65"/>
      <c r="G1" s="66"/>
      <c r="H1" s="66"/>
    </row>
    <row r="2" spans="1:12" x14ac:dyDescent="0.25"/>
    <row r="3" spans="1:12" ht="35.25" customHeight="1" x14ac:dyDescent="0.25">
      <c r="A3" s="156" t="s">
        <v>326</v>
      </c>
      <c r="B3" s="156"/>
      <c r="C3" s="156"/>
      <c r="D3" s="156"/>
      <c r="E3" s="156"/>
      <c r="F3" s="97"/>
      <c r="L3" s="4" t="str">
        <f>IF(A4=0,"Вы не указали ни одного наименования вуза - строка 3 вопрос №32"," ")</f>
        <v>Вы не указали ни одного наименования вуза - строка 3 вопрос №32</v>
      </c>
    </row>
    <row r="4" spans="1:12" ht="18.75" customHeight="1" x14ac:dyDescent="0.25">
      <c r="A4" s="156"/>
      <c r="B4" s="156"/>
      <c r="C4" s="156"/>
      <c r="D4" s="156"/>
      <c r="E4" s="156"/>
      <c r="F4" s="97"/>
    </row>
    <row r="5" spans="1:12" ht="18.75" customHeight="1" x14ac:dyDescent="0.25">
      <c r="A5" s="156"/>
      <c r="B5" s="156"/>
      <c r="C5" s="156"/>
      <c r="D5" s="156"/>
      <c r="E5" s="156"/>
      <c r="F5" s="97"/>
    </row>
    <row r="6" spans="1:12" ht="18.75" customHeight="1" x14ac:dyDescent="0.25">
      <c r="A6" s="156"/>
      <c r="B6" s="156"/>
      <c r="C6" s="156"/>
      <c r="D6" s="156"/>
      <c r="E6" s="156"/>
      <c r="F6" s="97"/>
    </row>
    <row r="7" spans="1:12" ht="18.75" customHeight="1" x14ac:dyDescent="0.25">
      <c r="A7" s="156"/>
      <c r="B7" s="156"/>
      <c r="C7" s="156"/>
      <c r="D7" s="156"/>
      <c r="E7" s="156"/>
      <c r="F7" s="97"/>
    </row>
    <row r="8" spans="1:12" ht="18.75" customHeight="1" x14ac:dyDescent="0.25">
      <c r="A8" s="156"/>
      <c r="B8" s="156"/>
      <c r="C8" s="156"/>
      <c r="D8" s="156"/>
      <c r="E8" s="156"/>
      <c r="F8" s="97"/>
    </row>
    <row r="9" spans="1:12" ht="15" customHeight="1" x14ac:dyDescent="0.25">
      <c r="A9" s="169" t="s">
        <v>327</v>
      </c>
      <c r="B9" s="169"/>
      <c r="C9" s="170" t="s">
        <v>55</v>
      </c>
      <c r="D9" s="170"/>
      <c r="E9" s="84" t="s">
        <v>6</v>
      </c>
      <c r="F9" s="29"/>
      <c r="H9" s="60">
        <f>SUM(I9:I13)</f>
        <v>0</v>
      </c>
      <c r="I9" s="60">
        <f>IF(E9="-- выберите --",0,1)</f>
        <v>0</v>
      </c>
      <c r="L9" s="4" t="str">
        <f>IF(H9=0,"Вы не предоставили данные о партнерских программах - строка 9-13 вопрос №33"," ")</f>
        <v>Вы не предоставили данные о партнерских программах - строка 9-13 вопрос №33</v>
      </c>
    </row>
    <row r="10" spans="1:12" ht="15" customHeight="1" x14ac:dyDescent="0.25">
      <c r="A10" s="169"/>
      <c r="B10" s="169"/>
      <c r="C10" s="171" t="s">
        <v>57</v>
      </c>
      <c r="D10" s="171"/>
      <c r="E10" s="85" t="s">
        <v>6</v>
      </c>
      <c r="F10" s="18"/>
      <c r="I10" s="60">
        <f>IF(E10="-- выберите --",0,1)</f>
        <v>0</v>
      </c>
    </row>
    <row r="11" spans="1:12" ht="15" customHeight="1" x14ac:dyDescent="0.25">
      <c r="A11" s="169"/>
      <c r="B11" s="169"/>
      <c r="C11" s="171" t="s">
        <v>59</v>
      </c>
      <c r="D11" s="171"/>
      <c r="E11" s="85" t="s">
        <v>6</v>
      </c>
      <c r="F11" s="18"/>
      <c r="G11" s="2" t="s">
        <v>6</v>
      </c>
      <c r="I11" s="60">
        <f>IF(E11="-- выберите --",0,1)</f>
        <v>0</v>
      </c>
    </row>
    <row r="12" spans="1:12" ht="34.5" customHeight="1" x14ac:dyDescent="0.25">
      <c r="A12" s="169"/>
      <c r="B12" s="169"/>
      <c r="C12" s="171" t="s">
        <v>328</v>
      </c>
      <c r="D12" s="171"/>
      <c r="E12" s="85" t="s">
        <v>6</v>
      </c>
      <c r="F12" s="18"/>
      <c r="I12" s="60">
        <f>IF(E12="-- выберите --",0,1)</f>
        <v>0</v>
      </c>
    </row>
    <row r="13" spans="1:12" ht="43.5" customHeight="1" x14ac:dyDescent="0.25">
      <c r="A13" s="169"/>
      <c r="B13" s="169"/>
      <c r="C13" s="87" t="s">
        <v>38</v>
      </c>
      <c r="D13" s="83"/>
      <c r="E13" s="85" t="s">
        <v>6</v>
      </c>
      <c r="F13" s="18"/>
      <c r="I13" s="60">
        <f>IF(E13="да",1,0)</f>
        <v>0</v>
      </c>
      <c r="L13" s="4" t="str">
        <f>IF(D13=0,IF(I13=0," ","Вы указали -ДА- в графе -ДРУГОЕ-, укажите партнерскую программу в строке 13")," ")</f>
        <v xml:space="preserve"> </v>
      </c>
    </row>
    <row r="14" spans="1:12" x14ac:dyDescent="0.25"/>
    <row r="15" spans="1:12" ht="15.75" customHeight="1" x14ac:dyDescent="0.25">
      <c r="A15" s="191" t="str">
        <f>IF(SUM(F16:F18)=0," ","Замечания по заполнению анкеты")</f>
        <v>Замечания по заполнению анкеты</v>
      </c>
      <c r="B15" s="191"/>
      <c r="C15" s="191"/>
      <c r="D15" s="191"/>
      <c r="E15" s="191"/>
      <c r="F15" s="2"/>
      <c r="G15" s="46"/>
      <c r="I15" s="46"/>
      <c r="K15" s="4"/>
      <c r="L15" s="46"/>
    </row>
    <row r="16" spans="1:12" x14ac:dyDescent="0.25">
      <c r="A16" s="41" t="str">
        <f>L3</f>
        <v>Вы не указали ни одного наименования вуза - строка 3 вопрос №32</v>
      </c>
      <c r="B16" s="41"/>
      <c r="C16" s="42"/>
      <c r="D16" s="42"/>
      <c r="E16" s="42"/>
      <c r="F16" s="2">
        <f>IF(A16=" ",0,1)</f>
        <v>1</v>
      </c>
      <c r="G16" s="46"/>
      <c r="I16" s="46"/>
      <c r="K16" s="4"/>
      <c r="L16" s="46"/>
    </row>
    <row r="17" spans="1:12" x14ac:dyDescent="0.25">
      <c r="A17" s="41" t="str">
        <f>L9</f>
        <v>Вы не предоставили данные о партнерских программах - строка 9-13 вопрос №33</v>
      </c>
      <c r="B17" s="41"/>
      <c r="C17" s="42"/>
      <c r="D17" s="42"/>
      <c r="E17" s="42"/>
      <c r="F17" s="2">
        <f>IF(A17=" ",0,1)</f>
        <v>1</v>
      </c>
      <c r="G17" s="46"/>
      <c r="I17" s="46"/>
      <c r="K17" s="4"/>
      <c r="L17" s="46"/>
    </row>
    <row r="18" spans="1:12" x14ac:dyDescent="0.25">
      <c r="A18" s="41" t="str">
        <f>L13</f>
        <v xml:space="preserve"> </v>
      </c>
      <c r="B18" s="26"/>
      <c r="C18" s="42"/>
      <c r="D18" s="42"/>
      <c r="E18" s="42"/>
      <c r="F18" s="2">
        <f>IF(A18=" ",0,1)</f>
        <v>0</v>
      </c>
      <c r="G18" s="46"/>
      <c r="I18" s="46"/>
      <c r="K18" s="4"/>
      <c r="L18" s="46"/>
    </row>
    <row r="19" spans="1:12" x14ac:dyDescent="0.25">
      <c r="A19" s="41"/>
      <c r="F19" s="2"/>
      <c r="G19" s="46"/>
      <c r="H19" s="46"/>
      <c r="I19" s="46"/>
      <c r="L19" s="46"/>
    </row>
    <row r="20" spans="1:12" x14ac:dyDescent="0.25">
      <c r="A20" s="41"/>
      <c r="F20" s="2"/>
      <c r="G20" s="46"/>
      <c r="H20" s="46"/>
      <c r="I20" s="46"/>
      <c r="L20" s="46"/>
    </row>
    <row r="21" spans="1:12" x14ac:dyDescent="0.25">
      <c r="A21" s="41"/>
      <c r="F21" s="2"/>
      <c r="G21" s="46"/>
      <c r="H21" s="46"/>
      <c r="I21" s="46"/>
      <c r="L21" s="46"/>
    </row>
    <row r="22" spans="1:12" x14ac:dyDescent="0.25">
      <c r="A22" s="41"/>
      <c r="F22" s="2"/>
      <c r="G22" s="46"/>
      <c r="H22" s="46"/>
      <c r="I22" s="46"/>
      <c r="L22" s="46"/>
    </row>
    <row r="23" spans="1:12" x14ac:dyDescent="0.25">
      <c r="A23" s="41"/>
      <c r="F23" s="2"/>
      <c r="G23" s="46"/>
      <c r="H23" s="46"/>
      <c r="I23" s="46"/>
      <c r="L23" s="46"/>
    </row>
    <row r="24" spans="1:12" x14ac:dyDescent="0.25">
      <c r="A24" s="41"/>
      <c r="F24" s="2"/>
      <c r="G24" s="46"/>
    </row>
    <row r="25" spans="1:12" x14ac:dyDescent="0.25">
      <c r="A25" s="41"/>
      <c r="F25" s="2"/>
      <c r="G25" s="46"/>
    </row>
    <row r="26" spans="1:12" x14ac:dyDescent="0.25">
      <c r="A26" s="41" t="str">
        <f>L13</f>
        <v xml:space="preserve"> </v>
      </c>
      <c r="F26" s="2"/>
      <c r="G26" s="46"/>
    </row>
    <row r="27" spans="1:12" x14ac:dyDescent="0.25"/>
    <row r="28" spans="1:12" x14ac:dyDescent="0.25"/>
    <row r="29" spans="1:12" x14ac:dyDescent="0.25"/>
    <row r="30" spans="1:12" x14ac:dyDescent="0.25"/>
    <row r="31" spans="1:12" x14ac:dyDescent="0.25"/>
    <row r="32" spans="1:1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</sheetData>
  <sheetProtection selectLockedCells="1" selectUnlockedCells="1"/>
  <mergeCells count="12">
    <mergeCell ref="A3:E3"/>
    <mergeCell ref="A4:E4"/>
    <mergeCell ref="A5:E5"/>
    <mergeCell ref="A6:E6"/>
    <mergeCell ref="A7:E7"/>
    <mergeCell ref="A8:E8"/>
    <mergeCell ref="A9:B13"/>
    <mergeCell ref="C9:D9"/>
    <mergeCell ref="C10:D10"/>
    <mergeCell ref="C11:D11"/>
    <mergeCell ref="C12:D12"/>
    <mergeCell ref="A15:E15"/>
  </mergeCells>
  <conditionalFormatting sqref="D13">
    <cfRule type="cellIs" dxfId="61" priority="1" stopIfTrue="1" operator="equal">
      <formula>0</formula>
    </cfRule>
  </conditionalFormatting>
  <conditionalFormatting sqref="E9:E13">
    <cfRule type="cellIs" dxfId="60" priority="2" stopIfTrue="1" operator="equal">
      <formula>$G$11</formula>
    </cfRule>
  </conditionalFormatting>
  <conditionalFormatting sqref="F9:F13">
    <cfRule type="cellIs" dxfId="59" priority="3" stopIfTrue="1" operator="equal">
      <formula>""--"выберите"--""</formula>
    </cfRule>
  </conditionalFormatting>
  <conditionalFormatting sqref="A15">
    <cfRule type="expression" dxfId="58" priority="4" stopIfTrue="1">
      <formula>NOT(ISERROR(SEARCH("ДАЛЕЕ",A15)))</formula>
    </cfRule>
  </conditionalFormatting>
  <conditionalFormatting sqref="A15:E15">
    <cfRule type="expression" dxfId="57" priority="5" stopIfTrue="1">
      <formula>NOT(ISERROR(SEARCH("продолжить",A15)))</formula>
    </cfRule>
  </conditionalFormatting>
  <conditionalFormatting sqref="E1">
    <cfRule type="expression" dxfId="56" priority="6" stopIfTrue="1">
      <formula>NOT(ISERROR(SEARCH("продолжить",E1)))</formula>
    </cfRule>
  </conditionalFormatting>
  <dataValidations count="1">
    <dataValidation type="list" operator="equal" allowBlank="1" showErrorMessage="1" sqref="E9:F13">
      <formula1>Выбор</formula1>
      <formula2>0</formula2>
    </dataValidation>
  </dataValidations>
  <hyperlinks>
    <hyperlink ref="A1" location="описание!A6" display="Вернуться к описанию условий"/>
  </hyperlinks>
  <pageMargins left="0.51180555555555551" right="0.51180555555555551" top="0.74861111111111112" bottom="0.74861111111111112" header="0.31527777777777777" footer="0.31527777777777777"/>
  <pageSetup paperSize="9" scale="82" firstPageNumber="0" orientation="portrait" horizontalDpi="300" verticalDpi="300"/>
  <headerFooter alignWithMargins="0">
    <oddHeader>&amp;C&amp;"Calibri,Обычный"&amp;11Анкета 13-го ежегодного исследования рынка ПО</oddHeader>
    <oddFooter>&amp;C&amp;"Calibri,Обычный"&amp;11НП "РУССОФТ", 2016 год
стр. &amp;P из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AD495"/>
  <sheetViews>
    <sheetView zoomScaleSheetLayoutView="100" workbookViewId="0">
      <pane xSplit="11" ySplit="1" topLeftCell="L2" activePane="bottomRight" state="frozen"/>
      <selection pane="topRight" activeCell="L1" sqref="L1"/>
      <selection pane="bottomLeft" activeCell="A2" sqref="A2"/>
      <selection pane="bottomRight" activeCell="E4" sqref="E4"/>
    </sheetView>
  </sheetViews>
  <sheetFormatPr defaultColWidth="8.7109375" defaultRowHeight="15" zeroHeight="1" x14ac:dyDescent="0.25"/>
  <cols>
    <col min="1" max="1" width="25.42578125" style="46" customWidth="1"/>
    <col min="2" max="2" width="17.42578125" style="46" customWidth="1"/>
    <col min="3" max="3" width="21.5703125" style="59" customWidth="1"/>
    <col min="4" max="4" width="20.85546875" style="59" customWidth="1"/>
    <col min="5" max="5" width="22.85546875" style="59" customWidth="1"/>
    <col min="6" max="6" width="9" style="2" hidden="1" customWidth="1"/>
    <col min="7" max="8" width="9" style="60" hidden="1" customWidth="1"/>
    <col min="9" max="10" width="9" style="46" hidden="1" customWidth="1"/>
    <col min="11" max="11" width="9" style="4" hidden="1" customWidth="1"/>
    <col min="12" max="30" width="8.7109375" style="46" customWidth="1"/>
    <col min="31" max="16384" width="8.7109375" style="1"/>
  </cols>
  <sheetData>
    <row r="1" spans="1:11" s="62" customFormat="1" ht="35.25" customHeight="1" x14ac:dyDescent="0.25">
      <c r="A1" s="67" t="s">
        <v>272</v>
      </c>
      <c r="D1" s="63"/>
      <c r="E1" s="64" t="str">
        <f>IF(A12=" ","Продолжить заполнение анкеты"," ")</f>
        <v xml:space="preserve"> </v>
      </c>
      <c r="F1" s="2"/>
      <c r="G1" s="66"/>
      <c r="H1" s="66"/>
    </row>
    <row r="2" spans="1:11" x14ac:dyDescent="0.25">
      <c r="F2" s="2" t="s">
        <v>6</v>
      </c>
    </row>
    <row r="3" spans="1:11" ht="15" customHeight="1" x14ac:dyDescent="0.25">
      <c r="A3" s="202" t="s">
        <v>187</v>
      </c>
      <c r="B3" s="202"/>
      <c r="C3" s="202"/>
      <c r="D3" s="202"/>
      <c r="E3" s="202"/>
      <c r="F3" s="2" t="s">
        <v>186</v>
      </c>
    </row>
    <row r="4" spans="1:11" ht="60" customHeight="1" x14ac:dyDescent="0.25">
      <c r="A4" s="156" t="s">
        <v>329</v>
      </c>
      <c r="B4" s="156"/>
      <c r="C4" s="156"/>
      <c r="D4" s="156"/>
      <c r="E4" s="90" t="s">
        <v>6</v>
      </c>
      <c r="F4" s="2" t="s">
        <v>190</v>
      </c>
      <c r="G4" s="2" t="s">
        <v>6</v>
      </c>
      <c r="K4" s="4" t="str">
        <f>IF(E4="-- выберите --","Вы не указали диапазон годового оборота - строка 4 вопрос №34"," ")</f>
        <v>Вы не указали диапазон годового оборота - строка 4 вопрос №34</v>
      </c>
    </row>
    <row r="5" spans="1:11" ht="49.9" customHeight="1" x14ac:dyDescent="0.25">
      <c r="A5" s="156" t="s">
        <v>330</v>
      </c>
      <c r="B5" s="156"/>
      <c r="C5" s="156"/>
      <c r="D5" s="156"/>
      <c r="E5" s="68" t="s">
        <v>314</v>
      </c>
      <c r="F5" s="2" t="s">
        <v>193</v>
      </c>
    </row>
    <row r="6" spans="1:11" ht="93" customHeight="1" x14ac:dyDescent="0.25">
      <c r="A6" s="156" t="s">
        <v>331</v>
      </c>
      <c r="B6" s="156"/>
      <c r="C6" s="156"/>
      <c r="D6" s="90" t="s">
        <v>6</v>
      </c>
      <c r="E6" s="68" t="s">
        <v>314</v>
      </c>
      <c r="F6" s="2" t="s">
        <v>195</v>
      </c>
      <c r="G6" s="60">
        <f>IF(D6="увеличение",1,IF(D6="уменьшение",1,0))</f>
        <v>0</v>
      </c>
      <c r="H6" s="60">
        <f>IF(D6="-- выберите --",0,IF(G6=1,1,2))</f>
        <v>0</v>
      </c>
      <c r="I6" s="46">
        <f>IF(E6="?",0,IF(E6=0,0,IF(E6=" ",0,1)))</f>
        <v>0</v>
      </c>
      <c r="K6" s="4" t="str">
        <f>IF(H6=0,"Вы не указали тенденцию изменения оборота в 2018 году - строка 6 вопрос №36",IF(H6=1,IF(I6=0,"Вы не указали % изменения оборота в 2018 году - строка 6 вопрос №36"," ")," "))</f>
        <v>Вы не указали тенденцию изменения оборота в 2018 году - строка 6 вопрос №36</v>
      </c>
    </row>
    <row r="7" spans="1:11" ht="83.25" customHeight="1" x14ac:dyDescent="0.25">
      <c r="A7" s="156" t="s">
        <v>332</v>
      </c>
      <c r="B7" s="156"/>
      <c r="C7" s="156"/>
      <c r="D7" s="90" t="s">
        <v>6</v>
      </c>
      <c r="E7" s="68" t="s">
        <v>314</v>
      </c>
      <c r="F7" s="2" t="s">
        <v>22</v>
      </c>
      <c r="G7" s="60">
        <f>IF(D7="увеличение",1,IF(D7="уменьшение",1,0))</f>
        <v>0</v>
      </c>
      <c r="H7" s="60">
        <f>IF(D7="-- выберите --",0,IF(G7=1,1,2))</f>
        <v>0</v>
      </c>
      <c r="I7" s="46">
        <f>IF(E7="?",0,IF(E7=0,0,IF(E7=" ",0,1)))</f>
        <v>0</v>
      </c>
      <c r="K7" s="4" t="str">
        <f>IF(H7=0,"Вы не указали прогноз изменения оборота в 2019 году - строка 7 вопрос №37",IF(H7=1,IF(I7=0,"Вы не указали % изменения оборота в 2019 году - строка 7 вопрос №37"," ")," "))</f>
        <v>Вы не указали прогноз изменения оборота в 2019 году - строка 7 вопрос №37</v>
      </c>
    </row>
    <row r="8" spans="1:11" ht="15" customHeight="1" x14ac:dyDescent="0.25">
      <c r="A8" s="156" t="s">
        <v>333</v>
      </c>
      <c r="B8" s="156"/>
      <c r="C8" s="156"/>
      <c r="D8" s="31" t="s">
        <v>297</v>
      </c>
      <c r="E8" s="90" t="s">
        <v>6</v>
      </c>
      <c r="G8" s="60">
        <f>SUM(H8:H10)</f>
        <v>0</v>
      </c>
      <c r="H8" s="60">
        <f>IF(E8="-- выберите --",0,1)</f>
        <v>0</v>
      </c>
      <c r="K8" s="4" t="str">
        <f>IF(G8=0,"Вы не предоставили данные о привлечении инвестиций - строка 8-10 вопрос №38",IF(G8=3," ","Проверьте данные о привлечении инвестиций по всем трем периодам - строка 8-10 вопрос №38"))</f>
        <v>Вы не предоставили данные о привлечении инвестиций - строка 8-10 вопрос №38</v>
      </c>
    </row>
    <row r="9" spans="1:11" ht="31.35" customHeight="1" x14ac:dyDescent="0.25">
      <c r="A9" s="156"/>
      <c r="B9" s="156"/>
      <c r="C9" s="156"/>
      <c r="D9" s="31" t="s">
        <v>91</v>
      </c>
      <c r="E9" s="90" t="s">
        <v>6</v>
      </c>
      <c r="H9" s="60">
        <f>IF(E9="-- выберите --",0,1)</f>
        <v>0</v>
      </c>
    </row>
    <row r="10" spans="1:11" x14ac:dyDescent="0.25">
      <c r="A10" s="156"/>
      <c r="B10" s="156"/>
      <c r="C10" s="156"/>
      <c r="D10" s="31" t="s">
        <v>299</v>
      </c>
      <c r="E10" s="90" t="s">
        <v>6</v>
      </c>
      <c r="H10" s="60">
        <f>IF(E10="-- выберите --",0,1)</f>
        <v>0</v>
      </c>
    </row>
    <row r="11" spans="1:11" x14ac:dyDescent="0.25">
      <c r="E11" s="2"/>
    </row>
    <row r="12" spans="1:11" ht="15.75" customHeight="1" x14ac:dyDescent="0.25">
      <c r="A12" s="191" t="str">
        <f>IF(SUM(G13:G16)=0," ","Замечания по заполнению анкеты")</f>
        <v>Замечания по заполнению анкеты</v>
      </c>
      <c r="B12" s="191"/>
      <c r="C12" s="191"/>
      <c r="D12" s="191"/>
      <c r="E12" s="191"/>
      <c r="F12" s="6"/>
      <c r="G12" s="46"/>
    </row>
    <row r="13" spans="1:11" x14ac:dyDescent="0.25">
      <c r="A13" s="41" t="str">
        <f>K4</f>
        <v>Вы не указали диапазон годового оборота - строка 4 вопрос №34</v>
      </c>
      <c r="B13" s="41"/>
      <c r="C13" s="42"/>
      <c r="D13" s="42"/>
      <c r="E13" s="42"/>
      <c r="F13" s="7"/>
      <c r="G13" s="2">
        <f>IF(A13=" ",0,1)</f>
        <v>1</v>
      </c>
    </row>
    <row r="14" spans="1:11" x14ac:dyDescent="0.25">
      <c r="A14" s="41" t="str">
        <f>K6</f>
        <v>Вы не указали тенденцию изменения оборота в 2018 году - строка 6 вопрос №36</v>
      </c>
      <c r="B14" s="41"/>
      <c r="C14" s="42"/>
      <c r="D14" s="42"/>
      <c r="E14" s="42"/>
      <c r="F14" s="7"/>
      <c r="G14" s="2">
        <f>IF(A14=" ",0,1)</f>
        <v>1</v>
      </c>
    </row>
    <row r="15" spans="1:11" x14ac:dyDescent="0.25">
      <c r="A15" s="41" t="str">
        <f>K7</f>
        <v>Вы не указали прогноз изменения оборота в 2019 году - строка 7 вопрос №37</v>
      </c>
      <c r="F15" s="7"/>
      <c r="G15" s="2">
        <f>IF(A15=" ",0,1)</f>
        <v>1</v>
      </c>
    </row>
    <row r="16" spans="1:11" x14ac:dyDescent="0.25">
      <c r="A16" s="41" t="str">
        <f>K8</f>
        <v>Вы не предоставили данные о привлечении инвестиций - строка 8-10 вопрос №38</v>
      </c>
      <c r="G16" s="2">
        <f>IF(A16=" ",0,1)</f>
        <v>1</v>
      </c>
    </row>
    <row r="17" spans="6:6" x14ac:dyDescent="0.25">
      <c r="F17" s="6"/>
    </row>
    <row r="18" spans="6:6" x14ac:dyDescent="0.25">
      <c r="F18" s="7"/>
    </row>
    <row r="19" spans="6:6" x14ac:dyDescent="0.25">
      <c r="F19" s="7"/>
    </row>
    <row r="20" spans="6:6" x14ac:dyDescent="0.25">
      <c r="F20" s="7"/>
    </row>
    <row r="21" spans="6:6" x14ac:dyDescent="0.25">
      <c r="F21" s="6"/>
    </row>
    <row r="22" spans="6:6" x14ac:dyDescent="0.25">
      <c r="F22" s="6"/>
    </row>
    <row r="23" spans="6:6" x14ac:dyDescent="0.25">
      <c r="F23" s="6"/>
    </row>
    <row r="24" spans="6:6" x14ac:dyDescent="0.25">
      <c r="F24" s="6"/>
    </row>
    <row r="25" spans="6:6" x14ac:dyDescent="0.25">
      <c r="F25" s="6"/>
    </row>
    <row r="26" spans="6:6" x14ac:dyDescent="0.25">
      <c r="F26" s="6"/>
    </row>
    <row r="27" spans="6:6" x14ac:dyDescent="0.25">
      <c r="F27" s="6"/>
    </row>
    <row r="28" spans="6:6" x14ac:dyDescent="0.25">
      <c r="F28" s="6"/>
    </row>
    <row r="29" spans="6:6" x14ac:dyDescent="0.25"/>
    <row r="30" spans="6:6" x14ac:dyDescent="0.25">
      <c r="F30" s="7"/>
    </row>
    <row r="31" spans="6:6" x14ac:dyDescent="0.25">
      <c r="F31" s="7"/>
    </row>
    <row r="32" spans="6:6" x14ac:dyDescent="0.25">
      <c r="F32" s="7"/>
    </row>
    <row r="33" spans="6:6" x14ac:dyDescent="0.25">
      <c r="F33" s="7"/>
    </row>
    <row r="34" spans="6:6" x14ac:dyDescent="0.25">
      <c r="F34" s="7"/>
    </row>
    <row r="35" spans="6:6" x14ac:dyDescent="0.25"/>
    <row r="36" spans="6:6" x14ac:dyDescent="0.25"/>
    <row r="37" spans="6:6" x14ac:dyDescent="0.25"/>
    <row r="38" spans="6:6" x14ac:dyDescent="0.25">
      <c r="F38" s="7"/>
    </row>
    <row r="39" spans="6:6" x14ac:dyDescent="0.25">
      <c r="F39" s="6"/>
    </row>
    <row r="40" spans="6:6" x14ac:dyDescent="0.25">
      <c r="F40" s="7"/>
    </row>
    <row r="41" spans="6:6" x14ac:dyDescent="0.25">
      <c r="F41" s="7"/>
    </row>
    <row r="42" spans="6:6" x14ac:dyDescent="0.25">
      <c r="F42" s="7"/>
    </row>
    <row r="43" spans="6:6" x14ac:dyDescent="0.25">
      <c r="F43" s="7"/>
    </row>
    <row r="44" spans="6:6" x14ac:dyDescent="0.25">
      <c r="F44" s="7"/>
    </row>
    <row r="45" spans="6:6" x14ac:dyDescent="0.25">
      <c r="F45" s="7"/>
    </row>
    <row r="46" spans="6:6" x14ac:dyDescent="0.25"/>
    <row r="47" spans="6:6" x14ac:dyDescent="0.25"/>
    <row r="48" spans="6:6" x14ac:dyDescent="0.25">
      <c r="F48" s="6"/>
    </row>
    <row r="49" spans="6:6" x14ac:dyDescent="0.25">
      <c r="F49" s="14"/>
    </row>
    <row r="50" spans="6:6" x14ac:dyDescent="0.25">
      <c r="F50" s="14"/>
    </row>
    <row r="51" spans="6:6" x14ac:dyDescent="0.25">
      <c r="F51" s="14"/>
    </row>
    <row r="52" spans="6:6" x14ac:dyDescent="0.25">
      <c r="F52" s="14"/>
    </row>
    <row r="53" spans="6:6" x14ac:dyDescent="0.25"/>
    <row r="54" spans="6:6" x14ac:dyDescent="0.25">
      <c r="F54" s="6"/>
    </row>
    <row r="55" spans="6:6" x14ac:dyDescent="0.25">
      <c r="F55" s="6"/>
    </row>
    <row r="56" spans="6:6" x14ac:dyDescent="0.25">
      <c r="F56" s="6"/>
    </row>
    <row r="57" spans="6:6" x14ac:dyDescent="0.25"/>
    <row r="58" spans="6:6" x14ac:dyDescent="0.25"/>
    <row r="59" spans="6:6" x14ac:dyDescent="0.25"/>
    <row r="60" spans="6:6" x14ac:dyDescent="0.25">
      <c r="F60" s="6"/>
    </row>
    <row r="61" spans="6:6" x14ac:dyDescent="0.25">
      <c r="F61" s="6"/>
    </row>
    <row r="62" spans="6:6" x14ac:dyDescent="0.25">
      <c r="F62" s="6"/>
    </row>
    <row r="63" spans="6:6" x14ac:dyDescent="0.25">
      <c r="F63" s="6"/>
    </row>
    <row r="64" spans="6:6" x14ac:dyDescent="0.25"/>
    <row r="65" spans="6:6" x14ac:dyDescent="0.25"/>
    <row r="66" spans="6:6" x14ac:dyDescent="0.25"/>
    <row r="67" spans="6:6" x14ac:dyDescent="0.25"/>
    <row r="68" spans="6:6" x14ac:dyDescent="0.25">
      <c r="F68" s="6"/>
    </row>
    <row r="69" spans="6:6" x14ac:dyDescent="0.25">
      <c r="F69" s="6"/>
    </row>
    <row r="70" spans="6:6" x14ac:dyDescent="0.25">
      <c r="F70" s="6"/>
    </row>
    <row r="71" spans="6:6" x14ac:dyDescent="0.25">
      <c r="F71" s="6"/>
    </row>
    <row r="72" spans="6:6" x14ac:dyDescent="0.25">
      <c r="F72" s="6"/>
    </row>
    <row r="73" spans="6:6" x14ac:dyDescent="0.25">
      <c r="F73" s="6"/>
    </row>
    <row r="74" spans="6:6" x14ac:dyDescent="0.25">
      <c r="F74" s="6"/>
    </row>
    <row r="75" spans="6:6" x14ac:dyDescent="0.25">
      <c r="F75" s="6"/>
    </row>
    <row r="76" spans="6:6" x14ac:dyDescent="0.25">
      <c r="F76" s="6"/>
    </row>
    <row r="77" spans="6:6" x14ac:dyDescent="0.25"/>
    <row r="78" spans="6:6" x14ac:dyDescent="0.25"/>
    <row r="79" spans="6:6" x14ac:dyDescent="0.25"/>
    <row r="80" spans="6:6" x14ac:dyDescent="0.25"/>
    <row r="81" spans="6:6" x14ac:dyDescent="0.25"/>
    <row r="82" spans="6:6" x14ac:dyDescent="0.25"/>
    <row r="83" spans="6:6" x14ac:dyDescent="0.25"/>
    <row r="84" spans="6:6" x14ac:dyDescent="0.25"/>
    <row r="85" spans="6:6" x14ac:dyDescent="0.25">
      <c r="F85" s="6"/>
    </row>
    <row r="86" spans="6:6" x14ac:dyDescent="0.25">
      <c r="F86" s="6"/>
    </row>
    <row r="87" spans="6:6" x14ac:dyDescent="0.25">
      <c r="F87" s="6"/>
    </row>
    <row r="88" spans="6:6" x14ac:dyDescent="0.25">
      <c r="F88" s="6"/>
    </row>
    <row r="89" spans="6:6" x14ac:dyDescent="0.25">
      <c r="F89" s="6"/>
    </row>
    <row r="90" spans="6:6" x14ac:dyDescent="0.25">
      <c r="F90" s="6"/>
    </row>
    <row r="91" spans="6:6" x14ac:dyDescent="0.25"/>
    <row r="92" spans="6:6" x14ac:dyDescent="0.25"/>
    <row r="93" spans="6:6" x14ac:dyDescent="0.25"/>
    <row r="94" spans="6:6" x14ac:dyDescent="0.25"/>
    <row r="95" spans="6:6" x14ac:dyDescent="0.25"/>
    <row r="96" spans="6: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</sheetData>
  <sheetProtection selectLockedCells="1" selectUnlockedCells="1"/>
  <mergeCells count="7">
    <mergeCell ref="A12:E12"/>
    <mergeCell ref="A3:E3"/>
    <mergeCell ref="A4:D4"/>
    <mergeCell ref="A5:D5"/>
    <mergeCell ref="A6:C6"/>
    <mergeCell ref="A7:C7"/>
    <mergeCell ref="A8:C10"/>
  </mergeCells>
  <conditionalFormatting sqref="E6:E7">
    <cfRule type="cellIs" dxfId="55" priority="1" stopIfTrue="1" operator="equal">
      <formula>"___%"</formula>
    </cfRule>
    <cfRule type="cellIs" dxfId="54" priority="2" stopIfTrue="1" operator="equal">
      <formula>NA()</formula>
    </cfRule>
  </conditionalFormatting>
  <conditionalFormatting sqref="A12">
    <cfRule type="expression" dxfId="53" priority="3" stopIfTrue="1">
      <formula>NOT(ISERROR(SEARCH("ДАЛЕЕ",A12)))</formula>
    </cfRule>
  </conditionalFormatting>
  <conditionalFormatting sqref="A12:E12">
    <cfRule type="expression" dxfId="52" priority="4" stopIfTrue="1">
      <formula>NOT(ISERROR(SEARCH("продолжить",A12)))</formula>
    </cfRule>
  </conditionalFormatting>
  <conditionalFormatting sqref="E5:E7">
    <cfRule type="cellIs" dxfId="51" priority="5" stopIfTrue="1" operator="equal">
      <formula>"?"</formula>
    </cfRule>
  </conditionalFormatting>
  <conditionalFormatting sqref="E5">
    <cfRule type="cellIs" dxfId="50" priority="6" stopIfTrue="1" operator="equal">
      <formula>"___%"</formula>
    </cfRule>
    <cfRule type="cellIs" dxfId="49" priority="7" stopIfTrue="1" operator="equal">
      <formula>NA()</formula>
    </cfRule>
  </conditionalFormatting>
  <conditionalFormatting sqref="E4 D6:D7">
    <cfRule type="cellIs" dxfId="48" priority="8" stopIfTrue="1" operator="equal">
      <formula>$F$2</formula>
    </cfRule>
  </conditionalFormatting>
  <conditionalFormatting sqref="D6:D7 E4">
    <cfRule type="expression" dxfId="47" priority="9" stopIfTrue="1">
      <formula>NOT(ISERROR(SEARCH("выберите --",D4)))</formula>
    </cfRule>
  </conditionalFormatting>
  <conditionalFormatting sqref="E8">
    <cfRule type="cellIs" dxfId="46" priority="10" stopIfTrue="1" operator="equal">
      <formula>$F$2</formula>
    </cfRule>
  </conditionalFormatting>
  <conditionalFormatting sqref="E8">
    <cfRule type="expression" dxfId="45" priority="11" stopIfTrue="1">
      <formula>NOT(ISERROR(SEARCH("выберите --",E8)))</formula>
    </cfRule>
  </conditionalFormatting>
  <conditionalFormatting sqref="E9:E10">
    <cfRule type="cellIs" dxfId="44" priority="12" stopIfTrue="1" operator="equal">
      <formula>$F$2</formula>
    </cfRule>
  </conditionalFormatting>
  <conditionalFormatting sqref="E9:E10">
    <cfRule type="expression" dxfId="43" priority="13" stopIfTrue="1">
      <formula>NOT(ISERROR(SEARCH("выберите --",E9)))</formula>
    </cfRule>
  </conditionalFormatting>
  <conditionalFormatting sqref="E1">
    <cfRule type="expression" dxfId="42" priority="14" stopIfTrue="1">
      <formula>NOT(ISERROR(SEARCH("продолжить",E1)))</formula>
    </cfRule>
  </conditionalFormatting>
  <dataValidations count="3">
    <dataValidation type="list" operator="equal" allowBlank="1" showErrorMessage="1" sqref="E4">
      <formula1>выручка</formula1>
      <formula2>0</formula2>
    </dataValidation>
    <dataValidation type="list" operator="equal" allowBlank="1" showErrorMessage="1" sqref="D6:D7">
      <formula1>динамика</formula1>
      <formula2>0</formula2>
    </dataValidation>
    <dataValidation type="list" operator="equal" allowBlank="1" showErrorMessage="1" sqref="E8:E10">
      <formula1>Инвест2</formula1>
      <formula2>0</formula2>
    </dataValidation>
  </dataValidations>
  <hyperlinks>
    <hyperlink ref="A1" location="описание!A6" display="Вернуться к описанию условий"/>
  </hyperlinks>
  <pageMargins left="0.51180555555555551" right="0.51180555555555551" top="0.74861111111111112" bottom="0.74861111111111112" header="0.31527777777777777" footer="0.31527777777777777"/>
  <pageSetup paperSize="9" scale="87" firstPageNumber="0" orientation="portrait" horizontalDpi="300" verticalDpi="300"/>
  <headerFooter alignWithMargins="0">
    <oddHeader>&amp;C&amp;"Calibri,Обычный"&amp;11Анкета 13-го ежегодного исследования рынка ПО</oddHeader>
    <oddFooter>&amp;C&amp;"Calibri,Обычный"&amp;11НП "РУССОФТ", 2016 год
стр. &amp;P из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AD496"/>
  <sheetViews>
    <sheetView zoomScaleSheetLayoutView="100" workbookViewId="0">
      <pane xSplit="11" ySplit="1" topLeftCell="L2" activePane="bottomRight" state="frozen"/>
      <selection pane="topRight" activeCell="L1" sqref="L1"/>
      <selection pane="bottomLeft" activeCell="A2" sqref="A2"/>
      <selection pane="bottomRight" activeCell="D6" sqref="D6"/>
    </sheetView>
  </sheetViews>
  <sheetFormatPr defaultColWidth="8.7109375" defaultRowHeight="15" zeroHeight="1" x14ac:dyDescent="0.25"/>
  <cols>
    <col min="1" max="1" width="25.42578125" style="46" customWidth="1"/>
    <col min="2" max="2" width="17.42578125" style="46" customWidth="1"/>
    <col min="3" max="3" width="21.5703125" style="59" customWidth="1"/>
    <col min="4" max="4" width="20.85546875" style="59" customWidth="1"/>
    <col min="5" max="5" width="24.140625" style="59" customWidth="1"/>
    <col min="6" max="6" width="9" style="2" hidden="1" customWidth="1"/>
    <col min="7" max="8" width="9" style="60" hidden="1" customWidth="1"/>
    <col min="9" max="10" width="9" style="46" hidden="1" customWidth="1"/>
    <col min="11" max="11" width="9" style="4" hidden="1" customWidth="1"/>
    <col min="12" max="15" width="9" style="46" customWidth="1"/>
    <col min="16" max="16" width="8.7109375" style="46" customWidth="1"/>
    <col min="17" max="17" width="15.85546875" style="46" customWidth="1"/>
    <col min="18" max="30" width="8.7109375" style="46" customWidth="1"/>
    <col min="31" max="16384" width="8.7109375" style="1"/>
  </cols>
  <sheetData>
    <row r="1" spans="1:11" s="62" customFormat="1" ht="35.25" customHeight="1" x14ac:dyDescent="0.25">
      <c r="A1" s="67" t="s">
        <v>272</v>
      </c>
      <c r="D1" s="63"/>
      <c r="E1" s="64" t="str">
        <f>IF(A16=" ","Продолжить заполнение анкеты"," ")</f>
        <v xml:space="preserve"> </v>
      </c>
      <c r="F1" s="65"/>
      <c r="G1" s="66"/>
      <c r="H1" s="66"/>
    </row>
    <row r="2" spans="1:11" x14ac:dyDescent="0.25"/>
    <row r="3" spans="1:11" ht="15" customHeight="1" x14ac:dyDescent="0.25">
      <c r="A3" s="202" t="s">
        <v>198</v>
      </c>
      <c r="B3" s="202"/>
      <c r="C3" s="202"/>
      <c r="D3" s="202"/>
      <c r="E3" s="202"/>
    </row>
    <row r="4" spans="1:11" ht="31.5" customHeight="1" x14ac:dyDescent="0.25">
      <c r="A4" s="156" t="s">
        <v>334</v>
      </c>
      <c r="B4" s="156"/>
      <c r="C4" s="156"/>
      <c r="D4" s="156"/>
      <c r="E4" s="68"/>
      <c r="K4" s="4" t="str">
        <f>IF(E4&gt;0," ","Вы не указали % доли экспорта в общей выручке- строка 4 вопрос №39")</f>
        <v>Вы не указали % доли экспорта в общей выручке- строка 4 вопрос №39</v>
      </c>
    </row>
    <row r="5" spans="1:11" ht="44.1" customHeight="1" x14ac:dyDescent="0.25">
      <c r="A5" s="156" t="s">
        <v>335</v>
      </c>
      <c r="B5" s="156"/>
      <c r="C5" s="156"/>
      <c r="D5" s="90" t="s">
        <v>6</v>
      </c>
      <c r="E5" s="68"/>
      <c r="G5" s="60">
        <f>IF(D5="увеличение",1,IF(D5="уменьшение",1,0))</f>
        <v>0</v>
      </c>
      <c r="H5" s="60">
        <f>IF(D5="-- выберите --",0,IF(G5=1,1,2))</f>
        <v>0</v>
      </c>
      <c r="I5" s="46">
        <f>IF(E5="___%",0,IF(E5=0,0,IF(E5=" ",0,1)))</f>
        <v>0</v>
      </c>
      <c r="K5" s="4" t="str">
        <f>IF(H5=0,"Вы не указали тенденцию изменения объема экспорта в 2018 году - строка 5 вопрос №40",IF(H5=1,IF(I5=0,"Вы не указали % изменения объема экспорта в 2018 году - строка 5 вопрос №40"," ")," "))</f>
        <v>Вы не указали тенденцию изменения объема экспорта в 2018 году - строка 5 вопрос №40</v>
      </c>
    </row>
    <row r="6" spans="1:11" ht="31.5" customHeight="1" x14ac:dyDescent="0.25">
      <c r="A6" s="207" t="s">
        <v>336</v>
      </c>
      <c r="B6" s="207"/>
      <c r="C6" s="207"/>
      <c r="D6" s="90" t="s">
        <v>6</v>
      </c>
      <c r="E6" s="68"/>
      <c r="G6" s="60">
        <f>IF(D6="увеличение",1,IF(D6="уменьшение",1,0))</f>
        <v>0</v>
      </c>
      <c r="H6" s="60">
        <f>IF(D6="-- выберите --",0,IF(G6=1,1,2))</f>
        <v>0</v>
      </c>
      <c r="I6" s="46">
        <f>IF(E6="___%",0,IF(E6=0,0,IF(E6=" ",0,1)))</f>
        <v>0</v>
      </c>
      <c r="K6" s="4" t="str">
        <f>IF(H6=0,"Вы не указали тенденцию изменения объема экспорта в 2019 году - строка 6 вопрос №41",IF(H6=1,IF(I6=0,"Вы не указали % изменения объема экспорта в 2019 году -строка 6 вопрос №41"," ")," "))</f>
        <v>Вы не указали тенденцию изменения объема экспорта в 2019 году - строка 6 вопрос №41</v>
      </c>
    </row>
    <row r="7" spans="1:11" ht="29.1" customHeight="1" x14ac:dyDescent="0.25">
      <c r="A7" s="156" t="s">
        <v>337</v>
      </c>
      <c r="B7" s="166" t="s">
        <v>338</v>
      </c>
      <c r="C7" s="166"/>
      <c r="D7" s="166"/>
      <c r="E7" s="68"/>
    </row>
    <row r="8" spans="1:11" ht="15" customHeight="1" x14ac:dyDescent="0.25">
      <c r="A8" s="156"/>
      <c r="B8" s="166" t="s">
        <v>204</v>
      </c>
      <c r="C8" s="166"/>
      <c r="D8" s="166"/>
      <c r="E8" s="68"/>
    </row>
    <row r="9" spans="1:11" ht="49.5" customHeight="1" x14ac:dyDescent="0.25">
      <c r="A9" s="156"/>
      <c r="B9" s="167" t="s">
        <v>205</v>
      </c>
      <c r="C9" s="167"/>
      <c r="D9" s="167"/>
      <c r="E9" s="68"/>
    </row>
    <row r="10" spans="1:11" ht="28.35" customHeight="1" x14ac:dyDescent="0.25">
      <c r="A10" s="156"/>
      <c r="B10" s="166" t="s">
        <v>339</v>
      </c>
      <c r="C10" s="166"/>
      <c r="D10" s="166"/>
      <c r="E10" s="68"/>
    </row>
    <row r="11" spans="1:11" ht="15" customHeight="1" x14ac:dyDescent="0.25">
      <c r="A11" s="156"/>
      <c r="B11" s="167" t="s">
        <v>207</v>
      </c>
      <c r="C11" s="167"/>
      <c r="D11" s="167"/>
      <c r="E11" s="68"/>
    </row>
    <row r="12" spans="1:11" ht="15" customHeight="1" x14ac:dyDescent="0.25">
      <c r="A12" s="156"/>
      <c r="B12" s="166" t="s">
        <v>208</v>
      </c>
      <c r="C12" s="166"/>
      <c r="D12" s="166"/>
      <c r="E12" s="68"/>
    </row>
    <row r="13" spans="1:11" ht="15" customHeight="1" x14ac:dyDescent="0.25">
      <c r="A13" s="156"/>
      <c r="B13" s="32" t="s">
        <v>209</v>
      </c>
      <c r="C13" s="206"/>
      <c r="D13" s="206"/>
      <c r="E13" s="68"/>
      <c r="F13" s="2">
        <f>SUM(E7:E13)</f>
        <v>0</v>
      </c>
      <c r="G13" s="60">
        <f>IF(F13=0,1,0)</f>
        <v>1</v>
      </c>
      <c r="H13" s="60">
        <f>IF(F13=100,1,0)</f>
        <v>0</v>
      </c>
      <c r="K13" s="4" t="str">
        <f>IF(F13=100," ",IF(F13=0,"Вы не предоставили данные о структуре экспорта - строка 7-13 вопрос №42","Проверьте правильность показателей (всего 100%) - строка 7-13 вопрос №42"))</f>
        <v>Вы не предоставили данные о структуре экспорта - строка 7-13 вопрос №42</v>
      </c>
    </row>
    <row r="14" spans="1:11" x14ac:dyDescent="0.25">
      <c r="E14" s="89" t="str">
        <f>IF(SUM(G13:H13)=1," ",CONCATENATE("надо 100% - итог ",F13," %"))</f>
        <v xml:space="preserve"> </v>
      </c>
    </row>
    <row r="15" spans="1:11" x14ac:dyDescent="0.25"/>
    <row r="16" spans="1:11" ht="15.75" customHeight="1" x14ac:dyDescent="0.25">
      <c r="A16" s="191" t="str">
        <f>IF(SUM(F17:F20)=0," ","Замечания по заполнению анкеты")</f>
        <v>Замечания по заполнению анкеты</v>
      </c>
      <c r="B16" s="191"/>
      <c r="C16" s="191"/>
      <c r="D16" s="191"/>
      <c r="E16" s="191"/>
      <c r="G16" s="46"/>
    </row>
    <row r="17" spans="1:7" x14ac:dyDescent="0.25">
      <c r="A17" s="41" t="str">
        <f>K4</f>
        <v>Вы не указали % доли экспорта в общей выручке- строка 4 вопрос №39</v>
      </c>
      <c r="B17" s="41"/>
      <c r="C17" s="42"/>
      <c r="D17" s="42"/>
      <c r="E17" s="42"/>
      <c r="F17" s="2">
        <f>IF(A17=" ",0,1)</f>
        <v>1</v>
      </c>
      <c r="G17" s="46"/>
    </row>
    <row r="18" spans="1:7" x14ac:dyDescent="0.25">
      <c r="A18" s="41" t="str">
        <f>K5</f>
        <v>Вы не указали тенденцию изменения объема экспорта в 2018 году - строка 5 вопрос №40</v>
      </c>
      <c r="B18" s="41"/>
      <c r="C18" s="42"/>
      <c r="D18" s="42"/>
      <c r="E18" s="42"/>
      <c r="F18" s="2">
        <f>IF(A18=" ",0,1)</f>
        <v>1</v>
      </c>
      <c r="G18" s="46"/>
    </row>
    <row r="19" spans="1:7" x14ac:dyDescent="0.25">
      <c r="A19" s="41" t="str">
        <f>K6</f>
        <v>Вы не указали тенденцию изменения объема экспорта в 2019 году - строка 6 вопрос №41</v>
      </c>
      <c r="F19" s="2">
        <f>IF(A19=" ",0,1)</f>
        <v>1</v>
      </c>
    </row>
    <row r="20" spans="1:7" x14ac:dyDescent="0.25">
      <c r="A20" s="41" t="str">
        <f>K13</f>
        <v>Вы не предоставили данные о структуре экспорта - строка 7-13 вопрос №42</v>
      </c>
      <c r="F20" s="2">
        <f>IF(A20=" ",0,1)</f>
        <v>1</v>
      </c>
    </row>
    <row r="21" spans="1:7" x14ac:dyDescent="0.25"/>
    <row r="22" spans="1:7" x14ac:dyDescent="0.25"/>
    <row r="23" spans="1:7" x14ac:dyDescent="0.25"/>
    <row r="24" spans="1:7" x14ac:dyDescent="0.25"/>
    <row r="25" spans="1:7" x14ac:dyDescent="0.25"/>
    <row r="26" spans="1:7" x14ac:dyDescent="0.25"/>
    <row r="27" spans="1:7" x14ac:dyDescent="0.25"/>
    <row r="28" spans="1:7" x14ac:dyDescent="0.25"/>
    <row r="29" spans="1:7" x14ac:dyDescent="0.25"/>
    <row r="30" spans="1:7" x14ac:dyDescent="0.25"/>
    <row r="31" spans="1:7" x14ac:dyDescent="0.25"/>
    <row r="32" spans="1:7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</sheetData>
  <sheetProtection selectLockedCells="1" selectUnlockedCells="1"/>
  <mergeCells count="13">
    <mergeCell ref="B9:D9"/>
    <mergeCell ref="B10:D10"/>
    <mergeCell ref="B11:D11"/>
    <mergeCell ref="B12:D12"/>
    <mergeCell ref="C13:D13"/>
    <mergeCell ref="A16:E16"/>
    <mergeCell ref="A3:E3"/>
    <mergeCell ref="A4:D4"/>
    <mergeCell ref="A5:C5"/>
    <mergeCell ref="A6:C6"/>
    <mergeCell ref="A7:A13"/>
    <mergeCell ref="B7:D7"/>
    <mergeCell ref="B8:D8"/>
  </mergeCells>
  <conditionalFormatting sqref="C13:D13 E4:E13">
    <cfRule type="expression" dxfId="41" priority="1" stopIfTrue="1">
      <formula>LEN(TRIM(C4))=0</formula>
    </cfRule>
  </conditionalFormatting>
  <conditionalFormatting sqref="A16">
    <cfRule type="expression" dxfId="40" priority="2" stopIfTrue="1">
      <formula>NOT(ISERROR(SEARCH("ДАЛЕЕ",A16)))</formula>
    </cfRule>
  </conditionalFormatting>
  <conditionalFormatting sqref="A16:E16">
    <cfRule type="expression" dxfId="39" priority="3" stopIfTrue="1">
      <formula>NOT(ISERROR(SEARCH("продолжить",A16)))</formula>
    </cfRule>
  </conditionalFormatting>
  <conditionalFormatting sqref="D5:D6">
    <cfRule type="expression" dxfId="38" priority="4" stopIfTrue="1">
      <formula>NOT(ISERROR(SEARCH("выберите --",D5)))</formula>
    </cfRule>
  </conditionalFormatting>
  <conditionalFormatting sqref="E1">
    <cfRule type="expression" dxfId="37" priority="5" stopIfTrue="1">
      <formula>NOT(ISERROR(SEARCH("продолжить",E1)))</formula>
    </cfRule>
  </conditionalFormatting>
  <dataValidations count="1">
    <dataValidation type="list" operator="equal" allowBlank="1" showErrorMessage="1" sqref="D5:D6">
      <formula1>динамика</formula1>
      <formula2>0</formula2>
    </dataValidation>
  </dataValidations>
  <hyperlinks>
    <hyperlink ref="A1" location="описание!A6" display="Вернуться к описанию условий"/>
  </hyperlinks>
  <pageMargins left="0.51180555555555551" right="0.51180555555555551" top="0.74861111111111112" bottom="0.74861111111111112" header="0.31527777777777777" footer="0.31527777777777777"/>
  <pageSetup paperSize="9" scale="87" firstPageNumber="0" orientation="portrait" horizontalDpi="300" verticalDpi="300"/>
  <headerFooter alignWithMargins="0">
    <oddHeader>&amp;C&amp;"Calibri,Обычный"&amp;11Анкета 13-го ежегодного исследования рынка ПО</oddHeader>
    <oddFooter>&amp;C&amp;"Calibri,Обычный"&amp;11НП "РУССОФТ", 2016 год
стр. &amp;P из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AD495"/>
  <sheetViews>
    <sheetView zoomScaleSheetLayoutView="100" workbookViewId="0">
      <pane xSplit="11" ySplit="1" topLeftCell="L2" activePane="bottomRight" state="frozen"/>
      <selection pane="topRight" activeCell="L1" sqref="L1"/>
      <selection pane="bottomLeft" activeCell="A2" sqref="A2"/>
      <selection pane="bottomRight" activeCell="E4" sqref="E4"/>
    </sheetView>
  </sheetViews>
  <sheetFormatPr defaultColWidth="8.7109375" defaultRowHeight="15" zeroHeight="1" x14ac:dyDescent="0.25"/>
  <cols>
    <col min="1" max="1" width="25.42578125" style="46" customWidth="1"/>
    <col min="2" max="2" width="17.42578125" style="46" customWidth="1"/>
    <col min="3" max="3" width="21.5703125" style="59" customWidth="1"/>
    <col min="4" max="4" width="20.85546875" style="59" customWidth="1"/>
    <col min="5" max="5" width="22.85546875" style="59" customWidth="1"/>
    <col min="6" max="6" width="9" style="2" hidden="1" customWidth="1"/>
    <col min="7" max="8" width="9" style="60" hidden="1" customWidth="1"/>
    <col min="9" max="10" width="9" style="46" hidden="1" customWidth="1"/>
    <col min="11" max="11" width="9" style="4" hidden="1" customWidth="1"/>
    <col min="12" max="12" width="15.85546875" style="46" customWidth="1"/>
    <col min="13" max="30" width="8.7109375" style="46" customWidth="1"/>
    <col min="31" max="16384" width="8.7109375" style="1"/>
  </cols>
  <sheetData>
    <row r="1" spans="1:11" s="62" customFormat="1" ht="35.25" customHeight="1" x14ac:dyDescent="0.25">
      <c r="A1" s="67" t="s">
        <v>272</v>
      </c>
      <c r="D1" s="63"/>
      <c r="E1" s="64" t="str">
        <f>IF(A12=" ","Продолжить заполнение анкеты"," ")</f>
        <v xml:space="preserve"> </v>
      </c>
      <c r="F1" s="65"/>
      <c r="G1" s="66"/>
      <c r="H1" s="66"/>
    </row>
    <row r="2" spans="1:11" x14ac:dyDescent="0.25"/>
    <row r="3" spans="1:11" ht="20.100000000000001" customHeight="1" x14ac:dyDescent="0.25">
      <c r="A3" s="202" t="s">
        <v>210</v>
      </c>
      <c r="B3" s="202"/>
      <c r="C3" s="202"/>
      <c r="D3" s="202"/>
      <c r="E3" s="202"/>
    </row>
    <row r="4" spans="1:11" ht="29.85" customHeight="1" x14ac:dyDescent="0.25">
      <c r="A4" s="156" t="s">
        <v>340</v>
      </c>
      <c r="B4" s="166" t="s">
        <v>203</v>
      </c>
      <c r="C4" s="166"/>
      <c r="D4" s="166"/>
      <c r="E4" s="68"/>
      <c r="G4" s="60">
        <f t="shared" ref="G4:G9" si="0">IF(E4="___%",0,IF(E4&lt;1,1,2))</f>
        <v>1</v>
      </c>
      <c r="H4" s="60">
        <f t="shared" ref="H4:H9" si="1">IF(G4=1,E4*100,E4)</f>
        <v>0</v>
      </c>
    </row>
    <row r="5" spans="1:11" ht="18" customHeight="1" x14ac:dyDescent="0.25">
      <c r="A5" s="156"/>
      <c r="B5" s="166" t="s">
        <v>204</v>
      </c>
      <c r="C5" s="166"/>
      <c r="D5" s="166"/>
      <c r="E5" s="68"/>
      <c r="G5" s="60">
        <f t="shared" si="0"/>
        <v>1</v>
      </c>
      <c r="H5" s="60">
        <f t="shared" si="1"/>
        <v>0</v>
      </c>
    </row>
    <row r="6" spans="1:11" ht="54" customHeight="1" x14ac:dyDescent="0.25">
      <c r="A6" s="156"/>
      <c r="B6" s="167" t="s">
        <v>205</v>
      </c>
      <c r="C6" s="167"/>
      <c r="D6" s="167"/>
      <c r="E6" s="68"/>
      <c r="G6" s="60">
        <f t="shared" si="0"/>
        <v>1</v>
      </c>
      <c r="H6" s="60">
        <f t="shared" si="1"/>
        <v>0</v>
      </c>
    </row>
    <row r="7" spans="1:11" ht="28.35" customHeight="1" x14ac:dyDescent="0.25">
      <c r="A7" s="156"/>
      <c r="B7" s="166" t="s">
        <v>206</v>
      </c>
      <c r="C7" s="166"/>
      <c r="D7" s="166"/>
      <c r="E7" s="68"/>
      <c r="G7" s="60">
        <f t="shared" si="0"/>
        <v>1</v>
      </c>
      <c r="H7" s="60">
        <f t="shared" si="1"/>
        <v>0</v>
      </c>
    </row>
    <row r="8" spans="1:11" ht="15" customHeight="1" x14ac:dyDescent="0.25">
      <c r="A8" s="156"/>
      <c r="B8" s="167" t="s">
        <v>207</v>
      </c>
      <c r="C8" s="167"/>
      <c r="D8" s="167"/>
      <c r="E8" s="68"/>
      <c r="G8" s="60">
        <f t="shared" si="0"/>
        <v>1</v>
      </c>
      <c r="H8" s="60">
        <f t="shared" si="1"/>
        <v>0</v>
      </c>
    </row>
    <row r="9" spans="1:11" ht="15" customHeight="1" x14ac:dyDescent="0.25">
      <c r="A9" s="156"/>
      <c r="B9" s="166" t="s">
        <v>208</v>
      </c>
      <c r="C9" s="166"/>
      <c r="D9" s="166"/>
      <c r="E9" s="68"/>
      <c r="G9" s="60">
        <f t="shared" si="0"/>
        <v>1</v>
      </c>
      <c r="H9" s="60">
        <f t="shared" si="1"/>
        <v>0</v>
      </c>
    </row>
    <row r="10" spans="1:11" ht="15" customHeight="1" x14ac:dyDescent="0.25">
      <c r="A10" s="156"/>
      <c r="B10" s="32" t="s">
        <v>209</v>
      </c>
      <c r="C10" s="206"/>
      <c r="D10" s="206"/>
      <c r="E10" s="68"/>
      <c r="F10" s="2">
        <f>SUM(E4:E10)</f>
        <v>0</v>
      </c>
      <c r="G10" s="60">
        <f>IF(F10=0,1,0)</f>
        <v>1</v>
      </c>
      <c r="H10" s="60">
        <f>IF(F10=100,1,0)</f>
        <v>0</v>
      </c>
      <c r="K10" s="4" t="str">
        <f>IF(F10=100," ",IF(F10=0,"Вы не предоставили данные о структуре доходов в РФ - строка 4-10 вопрос №43","Проверьте правильность показателей (всего 100%) - строка 4-10 вопрос №43"))</f>
        <v>Вы не предоставили данные о структуре доходов в РФ - строка 4-10 вопрос №43</v>
      </c>
    </row>
    <row r="11" spans="1:11" x14ac:dyDescent="0.25">
      <c r="E11" s="89" t="str">
        <f>IF(SUM(G10:H10)=1," ",CONCATENATE("надо 100% - итог ",F10," %"))</f>
        <v xml:space="preserve"> </v>
      </c>
    </row>
    <row r="12" spans="1:11" ht="15.75" customHeight="1" x14ac:dyDescent="0.25">
      <c r="A12" s="191" t="str">
        <f>IF(SUM(F13:F16)=0," ","Замечания по заполнению анкеты")</f>
        <v>Замечания по заполнению анкеты</v>
      </c>
      <c r="B12" s="191"/>
      <c r="C12" s="191"/>
      <c r="D12" s="191"/>
      <c r="E12" s="191"/>
    </row>
    <row r="13" spans="1:11" x14ac:dyDescent="0.25">
      <c r="A13" s="41" t="str">
        <f>K10</f>
        <v>Вы не предоставили данные о структуре доходов в РФ - строка 4-10 вопрос №43</v>
      </c>
      <c r="B13" s="41"/>
      <c r="C13" s="42"/>
      <c r="D13" s="42"/>
      <c r="E13" s="42"/>
      <c r="F13" s="2">
        <f>IF(A13=" ",0,1)</f>
        <v>1</v>
      </c>
    </row>
    <row r="14" spans="1:11" x14ac:dyDescent="0.25"/>
    <row r="15" spans="1:11" x14ac:dyDescent="0.25"/>
    <row r="16" spans="1:11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</sheetData>
  <sheetProtection selectLockedCells="1" selectUnlockedCells="1"/>
  <mergeCells count="10">
    <mergeCell ref="A12:E12"/>
    <mergeCell ref="A3:E3"/>
    <mergeCell ref="A4:A10"/>
    <mergeCell ref="B4:D4"/>
    <mergeCell ref="B5:D5"/>
    <mergeCell ref="B6:D6"/>
    <mergeCell ref="B7:D7"/>
    <mergeCell ref="B8:D8"/>
    <mergeCell ref="B9:D9"/>
    <mergeCell ref="C10:D10"/>
  </mergeCells>
  <conditionalFormatting sqref="E4:E9">
    <cfRule type="expression" dxfId="36" priority="1" stopIfTrue="1">
      <formula>LEN(TRIM(E4))=0</formula>
    </cfRule>
  </conditionalFormatting>
  <conditionalFormatting sqref="C10:D10">
    <cfRule type="expression" dxfId="35" priority="2" stopIfTrue="1">
      <formula>LEN(TRIM(C10))=0</formula>
    </cfRule>
  </conditionalFormatting>
  <conditionalFormatting sqref="E10">
    <cfRule type="expression" dxfId="34" priority="3" stopIfTrue="1">
      <formula>LEN(TRIM(E10))=0</formula>
    </cfRule>
  </conditionalFormatting>
  <conditionalFormatting sqref="A12">
    <cfRule type="expression" dxfId="33" priority="4" stopIfTrue="1">
      <formula>NOT(ISERROR(SEARCH("ДАЛЕЕ",A12)))</formula>
    </cfRule>
  </conditionalFormatting>
  <conditionalFormatting sqref="A12:E12">
    <cfRule type="expression" dxfId="32" priority="5" stopIfTrue="1">
      <formula>NOT(ISERROR(SEARCH("продолжить",A12)))</formula>
    </cfRule>
  </conditionalFormatting>
  <conditionalFormatting sqref="E1">
    <cfRule type="expression" dxfId="31" priority="6" stopIfTrue="1">
      <formula>NOT(ISERROR(SEARCH("продолжить",E1)))</formula>
    </cfRule>
  </conditionalFormatting>
  <hyperlinks>
    <hyperlink ref="A1" location="описание!A6" display="Вернуться к описанию условий"/>
  </hyperlinks>
  <pageMargins left="0.51180555555555551" right="0.51180555555555551" top="0.74861111111111112" bottom="0.74861111111111112" header="0.31527777777777777" footer="0.31527777777777777"/>
  <pageSetup paperSize="9" scale="87" firstPageNumber="0" orientation="portrait" horizontalDpi="300" verticalDpi="300"/>
  <headerFooter alignWithMargins="0">
    <oddHeader>&amp;C&amp;"Calibri,Обычный"&amp;11Анкета 13-го ежегодного исследования рынка ПО</oddHeader>
    <oddFooter>&amp;C&amp;"Calibri,Обычный"&amp;11НП "РУССОФТ", 2016 год
стр. &amp;P из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AD495"/>
  <sheetViews>
    <sheetView zoomScaleSheetLayoutView="100" workbookViewId="0">
      <pane xSplit="11" ySplit="1" topLeftCell="L2" activePane="bottomRight" state="frozen"/>
      <selection pane="topRight" activeCell="L1" sqref="L1"/>
      <selection pane="bottomLeft" activeCell="A2" sqref="A2"/>
      <selection pane="bottomRight" activeCell="E8" sqref="E8"/>
    </sheetView>
  </sheetViews>
  <sheetFormatPr defaultColWidth="8.7109375" defaultRowHeight="15" zeroHeight="1" x14ac:dyDescent="0.25"/>
  <cols>
    <col min="1" max="1" width="25.42578125" style="46" customWidth="1"/>
    <col min="2" max="2" width="17.42578125" style="46" customWidth="1"/>
    <col min="3" max="3" width="21.5703125" style="59" customWidth="1"/>
    <col min="4" max="4" width="20.85546875" style="59" customWidth="1"/>
    <col min="5" max="5" width="22.85546875" style="59" customWidth="1"/>
    <col min="6" max="6" width="9" style="2" hidden="1" customWidth="1"/>
    <col min="7" max="8" width="9" style="60" hidden="1" customWidth="1"/>
    <col min="9" max="10" width="9" style="46" hidden="1" customWidth="1"/>
    <col min="11" max="11" width="9" style="4" hidden="1" customWidth="1"/>
    <col min="12" max="15" width="9" style="46" customWidth="1"/>
    <col min="16" max="16" width="8.7109375" style="46" customWidth="1"/>
    <col min="17" max="17" width="15.85546875" style="46" customWidth="1"/>
    <col min="18" max="30" width="8.7109375" style="46" customWidth="1"/>
    <col min="31" max="16384" width="8.7109375" style="1"/>
  </cols>
  <sheetData>
    <row r="1" spans="1:11" s="62" customFormat="1" ht="35.25" customHeight="1" x14ac:dyDescent="0.25">
      <c r="A1" s="67" t="s">
        <v>272</v>
      </c>
      <c r="D1" s="63"/>
      <c r="E1" s="64" t="str">
        <f>IF(A13=" ","Продолжить заполнение анкеты"," ")</f>
        <v xml:space="preserve"> </v>
      </c>
      <c r="F1" s="65"/>
      <c r="G1" s="66"/>
      <c r="H1" s="66"/>
    </row>
    <row r="2" spans="1:11" x14ac:dyDescent="0.25"/>
    <row r="3" spans="1:11" ht="15" customHeight="1" x14ac:dyDescent="0.25">
      <c r="A3" s="202" t="s">
        <v>212</v>
      </c>
      <c r="B3" s="202"/>
      <c r="C3" s="202"/>
      <c r="D3" s="202"/>
      <c r="E3" s="202"/>
    </row>
    <row r="4" spans="1:11" ht="15" customHeight="1" x14ac:dyDescent="0.25">
      <c r="A4" s="156" t="s">
        <v>341</v>
      </c>
      <c r="B4" s="156"/>
      <c r="C4" s="33" t="s">
        <v>214</v>
      </c>
      <c r="D4" s="208" t="s">
        <v>6</v>
      </c>
      <c r="E4" s="208"/>
      <c r="K4" s="4" t="str">
        <f>IF(D4=F6,"Вы не выбрали приоритетную задачу компании -  строка 4 вопрос №44"," ")</f>
        <v>Вы не выбрали приоритетную задачу компании -  строка 4 вопрос №44</v>
      </c>
    </row>
    <row r="5" spans="1:11" ht="15" customHeight="1" x14ac:dyDescent="0.25">
      <c r="A5" s="156"/>
      <c r="B5" s="156"/>
      <c r="C5" s="163" t="s">
        <v>215</v>
      </c>
      <c r="D5" s="163"/>
      <c r="E5" s="163"/>
    </row>
    <row r="6" spans="1:11" ht="15" customHeight="1" x14ac:dyDescent="0.25">
      <c r="A6" s="156"/>
      <c r="B6" s="156"/>
      <c r="C6" s="164" t="s">
        <v>216</v>
      </c>
      <c r="D6" s="164"/>
      <c r="E6" s="85" t="s">
        <v>6</v>
      </c>
      <c r="F6" s="6" t="s">
        <v>6</v>
      </c>
      <c r="G6" s="60">
        <f>SUM(H6:H11)</f>
        <v>0</v>
      </c>
      <c r="H6" s="60">
        <f t="shared" ref="H6:H11" si="0">IF(E6="-- выберите --",0,1)</f>
        <v>0</v>
      </c>
      <c r="K6" s="4" t="str">
        <f>IF(G6=0,"Вы не указали задачи компании -  строка 6-11 вопрос №44"," ")</f>
        <v>Вы не указали задачи компании -  строка 6-11 вопрос №44</v>
      </c>
    </row>
    <row r="7" spans="1:11" ht="15" customHeight="1" x14ac:dyDescent="0.25">
      <c r="A7" s="156"/>
      <c r="B7" s="156"/>
      <c r="C7" s="164" t="s">
        <v>217</v>
      </c>
      <c r="D7" s="164"/>
      <c r="E7" s="85" t="s">
        <v>6</v>
      </c>
      <c r="F7" s="6" t="str">
        <f>C6</f>
        <v>Более активная работа на внутреннем рынке</v>
      </c>
      <c r="H7" s="60">
        <f t="shared" si="0"/>
        <v>0</v>
      </c>
    </row>
    <row r="8" spans="1:11" ht="15" customHeight="1" x14ac:dyDescent="0.25">
      <c r="A8" s="156"/>
      <c r="B8" s="156"/>
      <c r="C8" s="164" t="s">
        <v>218</v>
      </c>
      <c r="D8" s="164"/>
      <c r="E8" s="85" t="s">
        <v>6</v>
      </c>
      <c r="F8" s="6" t="str">
        <f>C7</f>
        <v>Расширение продаж за рубежом</v>
      </c>
      <c r="H8" s="60">
        <f t="shared" si="0"/>
        <v>0</v>
      </c>
    </row>
    <row r="9" spans="1:11" ht="15" customHeight="1" x14ac:dyDescent="0.25">
      <c r="A9" s="156"/>
      <c r="B9" s="156"/>
      <c r="C9" s="164" t="s">
        <v>219</v>
      </c>
      <c r="D9" s="164"/>
      <c r="E9" s="85" t="s">
        <v>6</v>
      </c>
      <c r="F9" s="6" t="str">
        <f>C8</f>
        <v>Создание центров разработки в регионах</v>
      </c>
      <c r="H9" s="60">
        <f t="shared" si="0"/>
        <v>0</v>
      </c>
    </row>
    <row r="10" spans="1:11" ht="15" customHeight="1" x14ac:dyDescent="0.25">
      <c r="A10" s="156"/>
      <c r="B10" s="156"/>
      <c r="C10" s="164" t="s">
        <v>220</v>
      </c>
      <c r="D10" s="164"/>
      <c r="E10" s="85" t="s">
        <v>6</v>
      </c>
      <c r="F10" s="6" t="str">
        <f>C9</f>
        <v>Увеличение доли продаж через Интернет</v>
      </c>
      <c r="H10" s="60">
        <f t="shared" si="0"/>
        <v>0</v>
      </c>
    </row>
    <row r="11" spans="1:11" x14ac:dyDescent="0.25">
      <c r="A11" s="156"/>
      <c r="B11" s="156"/>
      <c r="C11" s="22" t="s">
        <v>38</v>
      </c>
      <c r="D11" s="98"/>
      <c r="E11" s="85" t="s">
        <v>6</v>
      </c>
      <c r="F11" s="6" t="str">
        <f>C10</f>
        <v>Сертификация процессов разработки ПО</v>
      </c>
      <c r="H11" s="60">
        <f t="shared" si="0"/>
        <v>0</v>
      </c>
      <c r="K11" s="4">
        <f>IF(D11=0,IF(H11=0,0,"Вы указали -ДА- в графе -ДРУГОЕ-, укажите задачу в строке 181"),0)</f>
        <v>0</v>
      </c>
    </row>
    <row r="12" spans="1:11" x14ac:dyDescent="0.25">
      <c r="F12" s="2">
        <f>D11</f>
        <v>0</v>
      </c>
    </row>
    <row r="13" spans="1:11" ht="15.75" customHeight="1" x14ac:dyDescent="0.25">
      <c r="A13" s="191" t="str">
        <f>IF(SUM(F14:F17)=0," ","Замечания по заполнению анкеты")</f>
        <v>Замечания по заполнению анкеты</v>
      </c>
      <c r="B13" s="191"/>
      <c r="C13" s="191"/>
      <c r="D13" s="191"/>
      <c r="E13" s="191"/>
    </row>
    <row r="14" spans="1:11" x14ac:dyDescent="0.25">
      <c r="A14" s="41" t="str">
        <f>K4</f>
        <v>Вы не выбрали приоритетную задачу компании -  строка 4 вопрос №44</v>
      </c>
      <c r="B14" s="41"/>
      <c r="C14" s="42"/>
      <c r="D14" s="42"/>
      <c r="E14" s="42"/>
      <c r="F14" s="2">
        <f>IF(A14=" ",0,1)</f>
        <v>1</v>
      </c>
    </row>
    <row r="15" spans="1:11" x14ac:dyDescent="0.25">
      <c r="A15" s="41" t="str">
        <f>K6</f>
        <v>Вы не указали задачи компании -  строка 6-11 вопрос №44</v>
      </c>
      <c r="F15" s="2">
        <f>IF(A15=" ",0,1)</f>
        <v>1</v>
      </c>
    </row>
    <row r="16" spans="1:11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</sheetData>
  <sheetProtection selectLockedCells="1" selectUnlockedCells="1"/>
  <mergeCells count="10">
    <mergeCell ref="A13:E13"/>
    <mergeCell ref="A3:E3"/>
    <mergeCell ref="A4:B11"/>
    <mergeCell ref="D4:E4"/>
    <mergeCell ref="C5:E5"/>
    <mergeCell ref="C6:D6"/>
    <mergeCell ref="C7:D7"/>
    <mergeCell ref="C8:D8"/>
    <mergeCell ref="C9:D9"/>
    <mergeCell ref="C10:D10"/>
  </mergeCells>
  <conditionalFormatting sqref="D11">
    <cfRule type="cellIs" dxfId="30" priority="1" stopIfTrue="1" operator="equal">
      <formula>0</formula>
    </cfRule>
  </conditionalFormatting>
  <conditionalFormatting sqref="D4:E4">
    <cfRule type="expression" dxfId="29" priority="2" stopIfTrue="1">
      <formula>NOT(ISERROR(SEARCH("выберите --",D4)))</formula>
    </cfRule>
    <cfRule type="cellIs" dxfId="28" priority="3" stopIfTrue="1" operator="equal">
      <formula>$F$6</formula>
    </cfRule>
  </conditionalFormatting>
  <conditionalFormatting sqref="A13">
    <cfRule type="expression" dxfId="27" priority="4" stopIfTrue="1">
      <formula>NOT(ISERROR(SEARCH("ДАЛЕЕ",A13)))</formula>
    </cfRule>
  </conditionalFormatting>
  <conditionalFormatting sqref="A13:E13">
    <cfRule type="expression" dxfId="26" priority="5" stopIfTrue="1">
      <formula>NOT(ISERROR(SEARCH("продолжить",A13)))</formula>
    </cfRule>
  </conditionalFormatting>
  <conditionalFormatting sqref="E6:E11">
    <cfRule type="cellIs" dxfId="25" priority="6" stopIfTrue="1" operator="equal">
      <formula>$F$6</formula>
    </cfRule>
  </conditionalFormatting>
  <conditionalFormatting sqref="E1">
    <cfRule type="expression" dxfId="24" priority="7" stopIfTrue="1">
      <formula>NOT(ISERROR(SEARCH("продолжить",E1)))</formula>
    </cfRule>
  </conditionalFormatting>
  <dataValidations count="2">
    <dataValidation type="list" operator="equal" allowBlank="1" showErrorMessage="1" sqref="E6:E11">
      <formula1>Выбор</formula1>
      <formula2>0</formula2>
    </dataValidation>
    <dataValidation type="list" operator="equal" allowBlank="1" showErrorMessage="1" sqref="D4:E4">
      <formula1>приоритет</formula1>
      <formula2>0</formula2>
    </dataValidation>
  </dataValidations>
  <hyperlinks>
    <hyperlink ref="A1" location="описание!A6" display="Вернуться к описанию условий"/>
  </hyperlinks>
  <pageMargins left="0.51180555555555551" right="0.51180555555555551" top="0.74861111111111112" bottom="0.74861111111111112" header="0.31527777777777777" footer="0.31527777777777777"/>
  <pageSetup paperSize="9" scale="87" firstPageNumber="0" orientation="portrait" horizontalDpi="300" verticalDpi="300"/>
  <headerFooter alignWithMargins="0">
    <oddHeader>&amp;C&amp;"Calibri,Обычный"&amp;11Анкета 13-го ежегодного исследования рынка ПО</oddHeader>
    <oddFooter>&amp;C&amp;"Calibri,Обычный"&amp;11НП "РУССОФТ", 2016 год
стр. &amp;P из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AD493"/>
  <sheetViews>
    <sheetView zoomScaleSheetLayoutView="100" workbookViewId="0">
      <pane ySplit="1" topLeftCell="A2" activePane="bottomLeft" state="frozen"/>
      <selection pane="bottomLeft" activeCell="E4" sqref="E4"/>
    </sheetView>
  </sheetViews>
  <sheetFormatPr defaultColWidth="8.7109375" defaultRowHeight="15" zeroHeight="1" x14ac:dyDescent="0.25"/>
  <cols>
    <col min="1" max="1" width="25.42578125" style="46" customWidth="1"/>
    <col min="2" max="2" width="17.42578125" style="46" customWidth="1"/>
    <col min="3" max="3" width="21.5703125" style="59" customWidth="1"/>
    <col min="4" max="4" width="20.85546875" style="59" customWidth="1"/>
    <col min="5" max="5" width="22.85546875" style="59" customWidth="1"/>
    <col min="6" max="6" width="9" style="2" hidden="1" customWidth="1"/>
    <col min="7" max="8" width="9" style="60" hidden="1" customWidth="1"/>
    <col min="9" max="10" width="9" style="46" hidden="1" customWidth="1"/>
    <col min="11" max="11" width="9" style="4" hidden="1" customWidth="1"/>
    <col min="12" max="12" width="8.7109375" style="46" customWidth="1"/>
    <col min="13" max="13" width="15.85546875" style="46" customWidth="1"/>
    <col min="14" max="30" width="8.7109375" style="46" customWidth="1"/>
    <col min="31" max="16384" width="8.7109375" style="1"/>
  </cols>
  <sheetData>
    <row r="1" spans="1:11" s="62" customFormat="1" ht="35.25" customHeight="1" x14ac:dyDescent="0.25">
      <c r="A1" s="67" t="s">
        <v>272</v>
      </c>
      <c r="D1" s="63"/>
      <c r="E1" s="64" t="str">
        <f>IF(A29=" ","Продолжить заполнение анкеты"," ")</f>
        <v xml:space="preserve"> </v>
      </c>
      <c r="F1" s="65"/>
      <c r="G1" s="66"/>
      <c r="H1" s="66"/>
    </row>
    <row r="2" spans="1:11" ht="16.5" customHeight="1" x14ac:dyDescent="0.25"/>
    <row r="3" spans="1:11" ht="28.5" customHeight="1" x14ac:dyDescent="0.25">
      <c r="A3" s="202" t="s">
        <v>221</v>
      </c>
      <c r="B3" s="202"/>
      <c r="C3" s="202"/>
      <c r="D3" s="202"/>
      <c r="E3" s="202"/>
    </row>
    <row r="4" spans="1:11" ht="32.25" customHeight="1" x14ac:dyDescent="0.25">
      <c r="A4" s="156" t="s">
        <v>342</v>
      </c>
      <c r="B4" s="156"/>
      <c r="C4" s="156"/>
      <c r="D4" s="156"/>
      <c r="E4" s="99" t="s">
        <v>6</v>
      </c>
      <c r="F4" s="2" t="s">
        <v>6</v>
      </c>
      <c r="K4" s="4" t="str">
        <f>IF(E4=F4,"Вы не оценили поддержку ИТ-отрасли  - строка 4 вопрос №45"," ")</f>
        <v>Вы не оценили поддержку ИТ-отрасли  - строка 4 вопрос №45</v>
      </c>
    </row>
    <row r="5" spans="1:11" ht="30" customHeight="1" x14ac:dyDescent="0.25">
      <c r="A5" s="156" t="s">
        <v>343</v>
      </c>
      <c r="B5" s="156"/>
      <c r="C5" s="156"/>
      <c r="D5" s="156"/>
      <c r="E5" s="99" t="s">
        <v>6</v>
      </c>
      <c r="F5" s="6"/>
      <c r="K5" s="4" t="str">
        <f>IF(E5=F4,"Вы не оценили ситуацию по защите интеллектуальной собственности  - строка 5 вопрос №46"," ")</f>
        <v>Вы не оценили ситуацию по защите интеллектуальной собственности  - строка 5 вопрос №46</v>
      </c>
    </row>
    <row r="6" spans="1:11" ht="44.25" customHeight="1" x14ac:dyDescent="0.25">
      <c r="A6" s="156" t="s">
        <v>344</v>
      </c>
      <c r="B6" s="156"/>
      <c r="C6" s="156"/>
      <c r="D6" s="156"/>
      <c r="E6" s="99" t="s">
        <v>6</v>
      </c>
      <c r="F6" s="6"/>
      <c r="K6" s="4" t="str">
        <f>IF(E6=F4,"Вы не оценили деятельность местных органов власти  - строка 6 вопрос №47"," ")</f>
        <v>Вы не оценили деятельность местных органов власти  - строка 6 вопрос №47</v>
      </c>
    </row>
    <row r="7" spans="1:11" ht="25.5" customHeight="1" x14ac:dyDescent="0.25">
      <c r="A7" s="156" t="s">
        <v>345</v>
      </c>
      <c r="B7" s="155" t="s">
        <v>226</v>
      </c>
      <c r="C7" s="155"/>
      <c r="D7" s="155"/>
      <c r="E7" s="99" t="s">
        <v>6</v>
      </c>
      <c r="F7" s="6"/>
      <c r="G7" s="60">
        <f>SUM(H7:H14)</f>
        <v>0</v>
      </c>
      <c r="H7" s="60">
        <f t="shared" ref="H7:H22" si="0">IF(E7="-- выберите --",0,1)</f>
        <v>0</v>
      </c>
      <c r="K7" s="4" t="str">
        <f>IF(G7=8," ","Оцените, пожалуйста, Все показатели  - строка 7-14 вопрос №48")</f>
        <v>Оцените, пожалуйста, Все показатели  - строка 7-14 вопрос №48</v>
      </c>
    </row>
    <row r="8" spans="1:11" ht="15" customHeight="1" x14ac:dyDescent="0.25">
      <c r="A8" s="156"/>
      <c r="B8" s="155" t="s">
        <v>228</v>
      </c>
      <c r="C8" s="155"/>
      <c r="D8" s="155"/>
      <c r="E8" s="99" t="s">
        <v>6</v>
      </c>
      <c r="F8" s="6"/>
      <c r="H8" s="60">
        <f t="shared" si="0"/>
        <v>0</v>
      </c>
    </row>
    <row r="9" spans="1:11" ht="12.75" customHeight="1" x14ac:dyDescent="0.25">
      <c r="A9" s="156"/>
      <c r="B9" s="155" t="s">
        <v>230</v>
      </c>
      <c r="C9" s="155"/>
      <c r="D9" s="155"/>
      <c r="E9" s="99" t="s">
        <v>6</v>
      </c>
      <c r="F9" s="6"/>
      <c r="H9" s="60">
        <f t="shared" si="0"/>
        <v>0</v>
      </c>
    </row>
    <row r="10" spans="1:11" ht="15" customHeight="1" x14ac:dyDescent="0.25">
      <c r="A10" s="156"/>
      <c r="B10" s="155" t="s">
        <v>232</v>
      </c>
      <c r="C10" s="155"/>
      <c r="D10" s="155"/>
      <c r="E10" s="99" t="s">
        <v>6</v>
      </c>
      <c r="F10" s="6"/>
      <c r="H10" s="60">
        <f t="shared" si="0"/>
        <v>0</v>
      </c>
    </row>
    <row r="11" spans="1:11" ht="12.75" customHeight="1" x14ac:dyDescent="0.25">
      <c r="A11" s="156"/>
      <c r="B11" s="155" t="s">
        <v>233</v>
      </c>
      <c r="C11" s="155"/>
      <c r="D11" s="155"/>
      <c r="E11" s="99" t="s">
        <v>6</v>
      </c>
      <c r="F11" s="6"/>
      <c r="H11" s="60">
        <f t="shared" si="0"/>
        <v>0</v>
      </c>
    </row>
    <row r="12" spans="1:11" ht="30.75" customHeight="1" x14ac:dyDescent="0.25">
      <c r="A12" s="156"/>
      <c r="B12" s="155" t="s">
        <v>234</v>
      </c>
      <c r="C12" s="155"/>
      <c r="D12" s="155"/>
      <c r="E12" s="99" t="s">
        <v>6</v>
      </c>
      <c r="F12" s="6"/>
      <c r="H12" s="60">
        <f t="shared" si="0"/>
        <v>0</v>
      </c>
    </row>
    <row r="13" spans="1:11" ht="18" customHeight="1" x14ac:dyDescent="0.25">
      <c r="A13" s="156"/>
      <c r="B13" s="155" t="s">
        <v>235</v>
      </c>
      <c r="C13" s="155"/>
      <c r="D13" s="155"/>
      <c r="E13" s="99" t="s">
        <v>6</v>
      </c>
      <c r="H13" s="60">
        <f t="shared" si="0"/>
        <v>0</v>
      </c>
    </row>
    <row r="14" spans="1:11" ht="26.45" customHeight="1" x14ac:dyDescent="0.25">
      <c r="A14" s="156"/>
      <c r="B14" s="155" t="s">
        <v>236</v>
      </c>
      <c r="C14" s="155"/>
      <c r="D14" s="155"/>
      <c r="E14" s="99" t="s">
        <v>6</v>
      </c>
      <c r="H14" s="60">
        <f t="shared" si="0"/>
        <v>0</v>
      </c>
    </row>
    <row r="15" spans="1:11" ht="24.75" customHeight="1" x14ac:dyDescent="0.25">
      <c r="A15" s="156" t="s">
        <v>346</v>
      </c>
      <c r="B15" s="155" t="s">
        <v>238</v>
      </c>
      <c r="C15" s="155"/>
      <c r="D15" s="155"/>
      <c r="E15" s="99" t="s">
        <v>6</v>
      </c>
      <c r="G15" s="60">
        <f>SUM(H15:H21)</f>
        <v>0</v>
      </c>
      <c r="H15" s="60">
        <f t="shared" si="0"/>
        <v>0</v>
      </c>
      <c r="K15" s="4" t="str">
        <f>IF(G15=7," ","Оцените, пожалуйста, Все меры гос.поддержки  - строка 15-21 вопрос №49")</f>
        <v>Оцените, пожалуйста, Все меры гос.поддержки  - строка 15-21 вопрос №49</v>
      </c>
    </row>
    <row r="16" spans="1:11" ht="15" customHeight="1" x14ac:dyDescent="0.25">
      <c r="A16" s="156"/>
      <c r="B16" s="155" t="s">
        <v>239</v>
      </c>
      <c r="C16" s="155"/>
      <c r="D16" s="155"/>
      <c r="E16" s="99" t="s">
        <v>6</v>
      </c>
      <c r="H16" s="60">
        <f t="shared" si="0"/>
        <v>0</v>
      </c>
    </row>
    <row r="17" spans="1:30" ht="15" customHeight="1" x14ac:dyDescent="0.25">
      <c r="A17" s="156"/>
      <c r="B17" s="155" t="s">
        <v>240</v>
      </c>
      <c r="C17" s="155"/>
      <c r="D17" s="155"/>
      <c r="E17" s="99" t="s">
        <v>6</v>
      </c>
      <c r="H17" s="60">
        <f t="shared" si="0"/>
        <v>0</v>
      </c>
    </row>
    <row r="18" spans="1:30" ht="15" customHeight="1" x14ac:dyDescent="0.25">
      <c r="A18" s="156"/>
      <c r="B18" s="155" t="s">
        <v>235</v>
      </c>
      <c r="C18" s="155"/>
      <c r="D18" s="155"/>
      <c r="E18" s="99" t="s">
        <v>6</v>
      </c>
      <c r="H18" s="60">
        <f t="shared" si="0"/>
        <v>0</v>
      </c>
    </row>
    <row r="19" spans="1:30" ht="30.75" customHeight="1" x14ac:dyDescent="0.25">
      <c r="A19" s="156"/>
      <c r="B19" s="155" t="s">
        <v>241</v>
      </c>
      <c r="C19" s="155"/>
      <c r="D19" s="155"/>
      <c r="E19" s="99" t="s">
        <v>6</v>
      </c>
      <c r="H19" s="60">
        <f t="shared" si="0"/>
        <v>0</v>
      </c>
    </row>
    <row r="20" spans="1:30" ht="15" customHeight="1" x14ac:dyDescent="0.25">
      <c r="A20" s="156"/>
      <c r="B20" s="155" t="s">
        <v>242</v>
      </c>
      <c r="C20" s="155"/>
      <c r="D20" s="155"/>
      <c r="E20" s="99" t="s">
        <v>6</v>
      </c>
      <c r="H20" s="60">
        <f t="shared" si="0"/>
        <v>0</v>
      </c>
    </row>
    <row r="21" spans="1:30" s="38" customFormat="1" ht="18" customHeight="1" x14ac:dyDescent="0.25">
      <c r="A21" s="156"/>
      <c r="B21" s="155" t="s">
        <v>243</v>
      </c>
      <c r="C21" s="155"/>
      <c r="D21" s="155"/>
      <c r="E21" s="99" t="s">
        <v>6</v>
      </c>
      <c r="F21" s="36"/>
      <c r="G21" s="100"/>
      <c r="H21" s="60">
        <f t="shared" si="0"/>
        <v>0</v>
      </c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</row>
    <row r="22" spans="1:30" ht="40.35" hidden="1" customHeight="1" x14ac:dyDescent="0.25">
      <c r="A22" s="156"/>
      <c r="B22"/>
      <c r="C22"/>
      <c r="D22"/>
      <c r="E22"/>
      <c r="H22" s="60">
        <f t="shared" si="0"/>
        <v>1</v>
      </c>
      <c r="K22" s="39"/>
    </row>
    <row r="23" spans="1:30" ht="57" customHeight="1" x14ac:dyDescent="0.25">
      <c r="A23" s="156"/>
      <c r="B23" s="210" t="s">
        <v>244</v>
      </c>
      <c r="C23" s="210"/>
      <c r="D23" s="211"/>
      <c r="E23" s="211"/>
    </row>
    <row r="24" spans="1:30" ht="44.25" customHeight="1" x14ac:dyDescent="0.25">
      <c r="A24" s="156" t="s">
        <v>347</v>
      </c>
      <c r="B24" s="155" t="s">
        <v>246</v>
      </c>
      <c r="C24" s="155"/>
      <c r="D24" s="209" t="s">
        <v>6</v>
      </c>
      <c r="E24" s="209"/>
      <c r="G24" s="60">
        <f>SUM(H24:H27)</f>
        <v>0</v>
      </c>
      <c r="H24" s="60">
        <f>IF(D24="-- выберите --",0,1)</f>
        <v>0</v>
      </c>
      <c r="K24" s="4" t="str">
        <f>IF(G24=4," ","Оцените, пожалуйста, Все факторы воздествия  - строка 24-27 вопрос №50")</f>
        <v>Оцените, пожалуйста, Все факторы воздествия  - строка 24-27 вопрос №50</v>
      </c>
    </row>
    <row r="25" spans="1:30" ht="17.25" customHeight="1" x14ac:dyDescent="0.25">
      <c r="A25" s="156"/>
      <c r="B25" s="155" t="s">
        <v>247</v>
      </c>
      <c r="C25" s="155"/>
      <c r="D25" s="209" t="s">
        <v>6</v>
      </c>
      <c r="E25" s="209"/>
      <c r="H25" s="60">
        <f>IF(D25="-- выберите --",0,1)</f>
        <v>0</v>
      </c>
    </row>
    <row r="26" spans="1:30" ht="44.25" customHeight="1" x14ac:dyDescent="0.25">
      <c r="A26" s="156"/>
      <c r="B26" s="155" t="s">
        <v>248</v>
      </c>
      <c r="C26" s="155"/>
      <c r="D26" s="209" t="s">
        <v>6</v>
      </c>
      <c r="E26" s="209"/>
      <c r="H26" s="60">
        <f>IF(D26="-- выберите --",0,1)</f>
        <v>0</v>
      </c>
    </row>
    <row r="27" spans="1:30" ht="30" customHeight="1" x14ac:dyDescent="0.25">
      <c r="A27" s="156"/>
      <c r="B27" s="155" t="s">
        <v>249</v>
      </c>
      <c r="C27" s="155"/>
      <c r="D27" s="209" t="s">
        <v>6</v>
      </c>
      <c r="E27" s="209"/>
      <c r="H27" s="60">
        <f>IF(D27="-- выберите --",0,1)</f>
        <v>0</v>
      </c>
    </row>
    <row r="28" spans="1:30" x14ac:dyDescent="0.25"/>
    <row r="29" spans="1:30" ht="15.75" customHeight="1" x14ac:dyDescent="0.25">
      <c r="A29" s="191" t="str">
        <f>IF(SUM(F30:F35)=0," ","Замечания по заполнению анкеты")</f>
        <v>Замечания по заполнению анкеты</v>
      </c>
      <c r="B29" s="191"/>
      <c r="C29" s="191"/>
      <c r="D29" s="191"/>
      <c r="E29" s="191"/>
    </row>
    <row r="30" spans="1:30" x14ac:dyDescent="0.25">
      <c r="A30" s="41" t="str">
        <f>K4</f>
        <v>Вы не оценили поддержку ИТ-отрасли  - строка 4 вопрос №45</v>
      </c>
      <c r="B30" s="41"/>
      <c r="C30" s="42"/>
      <c r="D30" s="42"/>
      <c r="E30" s="42"/>
      <c r="F30" s="2">
        <f t="shared" ref="F30:F35" si="1">IF(A30=" ",0,1)</f>
        <v>1</v>
      </c>
    </row>
    <row r="31" spans="1:30" x14ac:dyDescent="0.25">
      <c r="A31" s="41" t="str">
        <f>K5</f>
        <v>Вы не оценили ситуацию по защите интеллектуальной собственности  - строка 5 вопрос №46</v>
      </c>
      <c r="F31" s="2">
        <f t="shared" si="1"/>
        <v>1</v>
      </c>
    </row>
    <row r="32" spans="1:30" x14ac:dyDescent="0.25">
      <c r="A32" s="41" t="str">
        <f>K6</f>
        <v>Вы не оценили деятельность местных органов власти  - строка 6 вопрос №47</v>
      </c>
      <c r="F32" s="2">
        <f t="shared" si="1"/>
        <v>1</v>
      </c>
    </row>
    <row r="33" spans="1:6" x14ac:dyDescent="0.25">
      <c r="A33" s="41" t="str">
        <f>K7</f>
        <v>Оцените, пожалуйста, Все показатели  - строка 7-14 вопрос №48</v>
      </c>
      <c r="F33" s="2">
        <f t="shared" si="1"/>
        <v>1</v>
      </c>
    </row>
    <row r="34" spans="1:6" x14ac:dyDescent="0.25">
      <c r="A34" s="41" t="str">
        <f>K15</f>
        <v>Оцените, пожалуйста, Все меры гос.поддержки  - строка 15-21 вопрос №49</v>
      </c>
      <c r="F34" s="2">
        <f t="shared" si="1"/>
        <v>1</v>
      </c>
    </row>
    <row r="35" spans="1:6" x14ac:dyDescent="0.25">
      <c r="A35" s="41" t="str">
        <f>K24</f>
        <v>Оцените, пожалуйста, Все факторы воздествия  - строка 24-27 вопрос №50</v>
      </c>
      <c r="F35" s="2">
        <f t="shared" si="1"/>
        <v>1</v>
      </c>
    </row>
    <row r="36" spans="1:6" x14ac:dyDescent="0.25"/>
    <row r="37" spans="1:6" x14ac:dyDescent="0.25"/>
    <row r="38" spans="1:6" x14ac:dyDescent="0.25"/>
    <row r="39" spans="1:6" x14ac:dyDescent="0.25"/>
    <row r="40" spans="1:6" x14ac:dyDescent="0.25"/>
    <row r="41" spans="1:6" x14ac:dyDescent="0.25"/>
    <row r="42" spans="1:6" x14ac:dyDescent="0.25"/>
    <row r="43" spans="1:6" x14ac:dyDescent="0.25"/>
    <row r="44" spans="1:6" x14ac:dyDescent="0.25"/>
    <row r="45" spans="1:6" x14ac:dyDescent="0.25"/>
    <row r="46" spans="1:6" x14ac:dyDescent="0.25"/>
    <row r="47" spans="1:6" x14ac:dyDescent="0.25"/>
    <row r="48" spans="1:6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</sheetData>
  <sheetProtection selectLockedCells="1" selectUnlockedCells="1"/>
  <mergeCells count="33">
    <mergeCell ref="A3:E3"/>
    <mergeCell ref="A4:D4"/>
    <mergeCell ref="A5:D5"/>
    <mergeCell ref="A6:D6"/>
    <mergeCell ref="A7:A14"/>
    <mergeCell ref="B7:D7"/>
    <mergeCell ref="B8:D8"/>
    <mergeCell ref="B9:D9"/>
    <mergeCell ref="B10:D10"/>
    <mergeCell ref="B11:D11"/>
    <mergeCell ref="A15:A23"/>
    <mergeCell ref="B15:D15"/>
    <mergeCell ref="B16:D16"/>
    <mergeCell ref="B17:D17"/>
    <mergeCell ref="B18:D18"/>
    <mergeCell ref="B19:D19"/>
    <mergeCell ref="B20:D20"/>
    <mergeCell ref="D25:E25"/>
    <mergeCell ref="B26:C26"/>
    <mergeCell ref="D26:E26"/>
    <mergeCell ref="B12:D12"/>
    <mergeCell ref="B13:D13"/>
    <mergeCell ref="B14:D14"/>
    <mergeCell ref="B27:C27"/>
    <mergeCell ref="D27:E27"/>
    <mergeCell ref="A29:E29"/>
    <mergeCell ref="B21:D21"/>
    <mergeCell ref="B23:C23"/>
    <mergeCell ref="D23:E23"/>
    <mergeCell ref="A24:A27"/>
    <mergeCell ref="B24:C24"/>
    <mergeCell ref="D24:E24"/>
    <mergeCell ref="B25:C25"/>
  </mergeCells>
  <conditionalFormatting sqref="D23">
    <cfRule type="cellIs" dxfId="23" priority="1" stopIfTrue="1" operator="equal">
      <formula>0</formula>
    </cfRule>
  </conditionalFormatting>
  <conditionalFormatting sqref="E15:E21">
    <cfRule type="expression" dxfId="22" priority="2" stopIfTrue="1">
      <formula>NOT(ISERROR(SEARCH("выберите",C15)))</formula>
    </cfRule>
  </conditionalFormatting>
  <conditionalFormatting sqref="A29">
    <cfRule type="expression" dxfId="21" priority="3" stopIfTrue="1">
      <formula>NOT(ISERROR(SEARCH("ДАЛЕЕ",A29)))</formula>
    </cfRule>
  </conditionalFormatting>
  <conditionalFormatting sqref="A29:E29">
    <cfRule type="expression" dxfId="20" priority="4" stopIfTrue="1">
      <formula>NOT(ISERROR(SEARCH("продолжить",A29)))</formula>
    </cfRule>
  </conditionalFormatting>
  <conditionalFormatting sqref="E4:E21 D23:E27">
    <cfRule type="cellIs" dxfId="19" priority="5" stopIfTrue="1" operator="equal">
      <formula>$F$4</formula>
    </cfRule>
  </conditionalFormatting>
  <conditionalFormatting sqref="D24:E27 E4:E21">
    <cfRule type="expression" dxfId="18" priority="6" stopIfTrue="1">
      <formula>NOT(ISERROR(SEARCH("выберите --",D4)))</formula>
    </cfRule>
  </conditionalFormatting>
  <conditionalFormatting sqref="E1">
    <cfRule type="expression" dxfId="17" priority="7" stopIfTrue="1">
      <formula>NOT(ISERROR(SEARCH("продолжить",E1)))</formula>
    </cfRule>
  </conditionalFormatting>
  <dataValidations count="3">
    <dataValidation type="list" operator="equal" allowBlank="1" showErrorMessage="1" sqref="E15:E21">
      <formula1>значимость</formula1>
      <formula2>0</formula2>
    </dataValidation>
    <dataValidation type="list" operator="equal" allowBlank="1" showErrorMessage="1" sqref="D24:E27">
      <formula1>воздействие</formula1>
      <formula2>0</formula2>
    </dataValidation>
    <dataValidation type="list" operator="equal" allowBlank="1" showErrorMessage="1" sqref="E4:E14">
      <formula1>оценка</formula1>
      <formula2>0</formula2>
    </dataValidation>
  </dataValidations>
  <hyperlinks>
    <hyperlink ref="A1" location="описание!A6" display="Вернуться к описанию условий"/>
  </hyperlinks>
  <pageMargins left="0.51180555555555551" right="0.51180555555555551" top="0.74861111111111112" bottom="0.74861111111111112" header="0.31527777777777777" footer="0.31527777777777777"/>
  <pageSetup paperSize="9" scale="87" firstPageNumber="0" orientation="portrait" horizontalDpi="300" verticalDpi="300"/>
  <headerFooter alignWithMargins="0">
    <oddHeader>&amp;C&amp;"Calibri,Обычный"&amp;11Анкета 13-го ежегодного исследования рынка ПО</oddHeader>
    <oddFooter>&amp;C&amp;"Calibri,Обычный"&amp;11НП "РУССОФТ", 2016 год
стр. &amp;P из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AD498"/>
  <sheetViews>
    <sheetView zoomScaleSheetLayoutView="100" workbookViewId="0">
      <selection activeCell="A2" sqref="A2"/>
    </sheetView>
  </sheetViews>
  <sheetFormatPr defaultColWidth="8.7109375" defaultRowHeight="15" zeroHeight="1" x14ac:dyDescent="0.25"/>
  <cols>
    <col min="1" max="1" width="25.42578125" style="46" customWidth="1"/>
    <col min="2" max="2" width="17.42578125" style="46" customWidth="1"/>
    <col min="3" max="3" width="21.5703125" style="59" customWidth="1"/>
    <col min="4" max="4" width="20.85546875" style="59" customWidth="1"/>
    <col min="5" max="5" width="22.85546875" style="59" customWidth="1"/>
    <col min="6" max="6" width="9" style="2" hidden="1" customWidth="1"/>
    <col min="7" max="8" width="9" style="60" hidden="1" customWidth="1"/>
    <col min="9" max="10" width="9" style="46" hidden="1" customWidth="1"/>
    <col min="11" max="11" width="9" style="4" hidden="1" customWidth="1"/>
    <col min="12" max="15" width="9" style="46" customWidth="1"/>
    <col min="16" max="16" width="8.7109375" style="46" customWidth="1"/>
    <col min="17" max="17" width="15.85546875" style="46" customWidth="1"/>
    <col min="18" max="30" width="8.7109375" style="46" customWidth="1"/>
    <col min="31" max="16384" width="8.7109375" style="1"/>
  </cols>
  <sheetData>
    <row r="1" spans="1:11" x14ac:dyDescent="0.25">
      <c r="E1" s="64"/>
    </row>
    <row r="2" spans="1:11" ht="30.75" customHeight="1" x14ac:dyDescent="0.25">
      <c r="A2" s="156" t="s">
        <v>348</v>
      </c>
      <c r="B2" s="156"/>
      <c r="C2" s="156"/>
      <c r="D2" s="156"/>
      <c r="E2" s="90" t="s">
        <v>6</v>
      </c>
      <c r="F2" s="65" t="s">
        <v>6</v>
      </c>
      <c r="H2" s="60">
        <f>IF(E2=F2,0,1)</f>
        <v>0</v>
      </c>
      <c r="K2" s="4" t="str">
        <f>IF(E2="да","Вы подтвердили согласие на бесплатную публикацию профайла в отчете",IF(E2="нет","Вы отказались от бесплатной публикации профайла в отчете"," "))</f>
        <v xml:space="preserve"> </v>
      </c>
    </row>
    <row r="3" spans="1:11" ht="30.75" customHeight="1" x14ac:dyDescent="0.25">
      <c r="A3" s="156" t="s">
        <v>349</v>
      </c>
      <c r="B3" s="156"/>
      <c r="C3" s="156"/>
      <c r="D3" s="156"/>
      <c r="E3" s="102" t="s">
        <v>6</v>
      </c>
      <c r="F3" s="2" t="s">
        <v>8</v>
      </c>
      <c r="H3" s="60">
        <f>IF(E3=F2,0,1)</f>
        <v>0</v>
      </c>
      <c r="K3" s="4" t="str">
        <f>IF(E3="да","Вы подтвердили согласие на включение адреса в рассылку",IF(E3="нет","Вы отказались от бесплатной рассылки РУССОФТ"," "))</f>
        <v xml:space="preserve"> </v>
      </c>
    </row>
    <row r="4" spans="1:11" ht="30.75" customHeight="1" x14ac:dyDescent="0.25">
      <c r="A4" s="192" t="str">
        <f>F4</f>
        <v xml:space="preserve"> </v>
      </c>
      <c r="B4" s="192"/>
      <c r="C4" s="192"/>
      <c r="D4" s="192"/>
      <c r="E4" s="103"/>
      <c r="F4" s="65" t="str">
        <f>IF(E3=F3,"Укажите адрес электронной почты для включения в рассылку"," ")</f>
        <v xml:space="preserve"> </v>
      </c>
      <c r="K4" s="4">
        <f>IF(E4="-- выберите --","Подтвердите согласие на бесплатную публикацию профайла в отчете - строка 206 вопрос №48",IF(E4="нет","Вы отказались от бесплатной публикации отчета (строка 283 вопрос №61)",0))</f>
        <v>0</v>
      </c>
    </row>
    <row r="5" spans="1:11" ht="45" customHeight="1" x14ac:dyDescent="0.25">
      <c r="A5" s="157"/>
      <c r="B5" s="157"/>
      <c r="C5" s="157"/>
      <c r="D5" s="157"/>
      <c r="E5" s="157"/>
    </row>
    <row r="6" spans="1:11" ht="32.25" customHeight="1" x14ac:dyDescent="0.25">
      <c r="A6" s="212" t="s">
        <v>350</v>
      </c>
      <c r="B6" s="212"/>
      <c r="C6" s="212"/>
      <c r="D6" s="212"/>
      <c r="E6" s="212"/>
    </row>
    <row r="7" spans="1:11" x14ac:dyDescent="0.25"/>
    <row r="8" spans="1:11" ht="33" customHeight="1" x14ac:dyDescent="0.25">
      <c r="B8" s="213" t="str">
        <f>IF(SUM(H2:H3)=2,"Проверить полноту заполнения анкеты"," ")</f>
        <v xml:space="preserve"> </v>
      </c>
      <c r="C8" s="213"/>
      <c r="D8" s="213"/>
    </row>
    <row r="9" spans="1:11" x14ac:dyDescent="0.25"/>
    <row r="10" spans="1:11" x14ac:dyDescent="0.25"/>
    <row r="11" spans="1:11" x14ac:dyDescent="0.25"/>
    <row r="12" spans="1:11" x14ac:dyDescent="0.25"/>
    <row r="13" spans="1:11" x14ac:dyDescent="0.25"/>
    <row r="14" spans="1:11" x14ac:dyDescent="0.25"/>
    <row r="15" spans="1:11" x14ac:dyDescent="0.25"/>
    <row r="16" spans="1:11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</sheetData>
  <sheetProtection selectLockedCells="1" selectUnlockedCells="1"/>
  <mergeCells count="6">
    <mergeCell ref="A2:D2"/>
    <mergeCell ref="A3:D3"/>
    <mergeCell ref="A4:D4"/>
    <mergeCell ref="A5:E5"/>
    <mergeCell ref="A6:E6"/>
    <mergeCell ref="B8:D8"/>
  </mergeCells>
  <conditionalFormatting sqref="E2:E3">
    <cfRule type="expression" dxfId="16" priority="1" stopIfTrue="1">
      <formula>NOT(ISERROR(SEARCH("выберите --",E2)))</formula>
    </cfRule>
    <cfRule type="cellIs" dxfId="15" priority="2" stopIfTrue="1" operator="equal">
      <formula>$F$2</formula>
    </cfRule>
  </conditionalFormatting>
  <conditionalFormatting sqref="B8">
    <cfRule type="expression" dxfId="14" priority="3" stopIfTrue="1">
      <formula>NOT(ISERROR(SEARCH("продолжить",B8)))</formula>
    </cfRule>
  </conditionalFormatting>
  <conditionalFormatting sqref="B8:D8">
    <cfRule type="expression" dxfId="13" priority="4" stopIfTrue="1">
      <formula>NOT(ISERROR(SEARCH("проверить",B8)))</formula>
    </cfRule>
  </conditionalFormatting>
  <conditionalFormatting sqref="E1">
    <cfRule type="expression" dxfId="12" priority="5" stopIfTrue="1">
      <formula>NOT(ISERROR(SEARCH("продолжить",E1)))</formula>
    </cfRule>
  </conditionalFormatting>
  <dataValidations count="1">
    <dataValidation type="list" operator="equal" allowBlank="1" showErrorMessage="1" sqref="E2:E3">
      <formula1>Выбор</formula1>
      <formula2>0</formula2>
    </dataValidation>
  </dataValidations>
  <hyperlinks>
    <hyperlink ref="A6" r:id="rId1"/>
  </hyperlinks>
  <pageMargins left="0.51180555555555551" right="0.51180555555555551" top="0.74861111111111112" bottom="0.74861111111111112" header="0.31527777777777777" footer="0.31527777777777777"/>
  <pageSetup paperSize="9" scale="87" firstPageNumber="0" orientation="portrait" horizontalDpi="300" verticalDpi="300"/>
  <headerFooter alignWithMargins="0">
    <oddHeader>&amp;C&amp;"Calibri,Обычный"&amp;11Анкета 13-го ежегодного исследования рынка ПО</oddHeader>
    <oddFooter>&amp;C&amp;"Calibri,Обычный"&amp;11НП "РУССОФТ", 2016 год
стр. &amp;P из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D512"/>
  <sheetViews>
    <sheetView zoomScaleSheetLayoutView="100" workbookViewId="0">
      <pane xSplit="9" ySplit="1" topLeftCell="J8" activePane="bottomRight" state="frozen"/>
      <selection pane="topRight" activeCell="J1" sqref="J1"/>
      <selection pane="bottomLeft" activeCell="A8" sqref="A8"/>
      <selection pane="bottomRight" activeCell="B21" sqref="B21"/>
    </sheetView>
  </sheetViews>
  <sheetFormatPr defaultColWidth="8.7109375" defaultRowHeight="15" zeroHeight="1" x14ac:dyDescent="0.25"/>
  <cols>
    <col min="1" max="1" width="25.140625" style="46" customWidth="1"/>
    <col min="2" max="2" width="16.28515625" style="46" customWidth="1"/>
    <col min="3" max="3" width="22.85546875" style="59" customWidth="1"/>
    <col min="4" max="4" width="13" style="59" customWidth="1"/>
    <col min="5" max="5" width="22.85546875" style="59" customWidth="1"/>
    <col min="6" max="6" width="16.85546875" style="2" hidden="1" customWidth="1"/>
    <col min="7" max="7" width="13.42578125" style="95" hidden="1" customWidth="1"/>
    <col min="8" max="8" width="9" style="60" hidden="1" customWidth="1"/>
    <col min="9" max="9" width="9" style="46" hidden="1" customWidth="1"/>
    <col min="10" max="10" width="9" style="46" customWidth="1"/>
    <col min="11" max="11" width="9" style="4" customWidth="1"/>
    <col min="12" max="15" width="9" style="46" customWidth="1"/>
    <col min="16" max="16" width="8.7109375" style="46" customWidth="1"/>
    <col min="17" max="17" width="15.85546875" style="46" customWidth="1"/>
    <col min="18" max="30" width="8.7109375" style="46" customWidth="1"/>
    <col min="31" max="16384" width="8.7109375" style="1"/>
  </cols>
  <sheetData>
    <row r="1" spans="1:30" s="62" customFormat="1" ht="15.75" customHeight="1" x14ac:dyDescent="0.25">
      <c r="A1" s="216" t="str">
        <f>IF(H1=0,"Анкета заполнена корректно. Сохраните файл и отправьте на адрес zhd@russoft.org","При заполнении анкеты выявлены недочеты. Исправьте их, пожалуйста")</f>
        <v>При заполнении анкеты выявлены недочеты. Исправьте их, пожалуйста</v>
      </c>
      <c r="B1" s="216"/>
      <c r="C1" s="216"/>
      <c r="D1" s="216"/>
      <c r="E1" s="216"/>
      <c r="F1" s="65"/>
      <c r="G1" s="66"/>
      <c r="H1" s="66">
        <f>SUM(H3:H27)</f>
        <v>13</v>
      </c>
    </row>
    <row r="2" spans="1:30" x14ac:dyDescent="0.25"/>
    <row r="3" spans="1:30" s="110" customFormat="1" ht="21" customHeight="1" x14ac:dyDescent="0.2">
      <c r="A3" s="104" t="s">
        <v>351</v>
      </c>
      <c r="B3" s="215" t="str">
        <f>G3</f>
        <v>Перейти к замечаниям и исправить</v>
      </c>
      <c r="C3" s="215"/>
      <c r="D3" s="215"/>
      <c r="E3" s="215"/>
      <c r="F3" s="105" t="str">
        <f>'1'!A15</f>
        <v>Замечания по заполнению анкеты</v>
      </c>
      <c r="G3" s="106" t="str">
        <f>IF(F3=" ","Замечаний нет","Перейти к замечаниям и исправить")</f>
        <v>Перейти к замечаниям и исправить</v>
      </c>
      <c r="H3" s="107">
        <f>IF(F3=" ",0,1)</f>
        <v>1</v>
      </c>
      <c r="I3" s="108"/>
      <c r="J3" s="108"/>
      <c r="K3" s="109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</row>
    <row r="4" spans="1:30" ht="10.5" customHeight="1" x14ac:dyDescent="0.25">
      <c r="F4" s="45"/>
    </row>
    <row r="5" spans="1:30" s="110" customFormat="1" ht="30" customHeight="1" x14ac:dyDescent="0.2">
      <c r="A5" s="104" t="s">
        <v>352</v>
      </c>
      <c r="B5" s="215" t="str">
        <f>G5</f>
        <v>Перейти к замечаниям и исправить</v>
      </c>
      <c r="C5" s="215"/>
      <c r="D5" s="215"/>
      <c r="E5" s="215"/>
      <c r="F5" s="105" t="str">
        <f>'2'!A16</f>
        <v>Замечания по заполнению анкеты</v>
      </c>
      <c r="G5" s="106" t="str">
        <f>IF(F5=" ","Замечаний нет","Перейти к замечаниям и исправить")</f>
        <v>Перейти к замечаниям и исправить</v>
      </c>
      <c r="H5" s="107">
        <f>IF(F5=" ",0,1)</f>
        <v>1</v>
      </c>
      <c r="I5" s="108"/>
      <c r="J5" s="108"/>
      <c r="K5" s="109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</row>
    <row r="6" spans="1:30" ht="10.5" customHeight="1" x14ac:dyDescent="0.25">
      <c r="F6" s="105"/>
    </row>
    <row r="7" spans="1:30" s="110" customFormat="1" ht="21" customHeight="1" x14ac:dyDescent="0.2">
      <c r="A7" s="104" t="s">
        <v>353</v>
      </c>
      <c r="B7" s="215" t="str">
        <f>G7</f>
        <v>Перейти к замечаниям и исправить</v>
      </c>
      <c r="C7" s="215"/>
      <c r="D7" s="215"/>
      <c r="E7" s="215"/>
      <c r="F7" s="105" t="str">
        <f>'3'!A24</f>
        <v>Замечания по заполнению анкеты</v>
      </c>
      <c r="G7" s="106" t="str">
        <f>IF(F7=" ","Замечаний нет","Перейти к замечаниям и исправить")</f>
        <v>Перейти к замечаниям и исправить</v>
      </c>
      <c r="H7" s="107">
        <f>IF(F7=" ",0,1)</f>
        <v>1</v>
      </c>
      <c r="I7" s="108"/>
      <c r="J7" s="108"/>
      <c r="K7" s="109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</row>
    <row r="8" spans="1:30" ht="10.5" customHeight="1" x14ac:dyDescent="0.25"/>
    <row r="9" spans="1:30" s="110" customFormat="1" ht="21" customHeight="1" x14ac:dyDescent="0.2">
      <c r="A9" s="104" t="s">
        <v>354</v>
      </c>
      <c r="B9" s="215" t="str">
        <f>G9</f>
        <v>Перейти к замечаниям и исправить</v>
      </c>
      <c r="C9" s="215"/>
      <c r="D9" s="215"/>
      <c r="E9" s="215"/>
      <c r="F9" s="105" t="str">
        <f>'4'!A39</f>
        <v>Замечания по заполнению анкеты</v>
      </c>
      <c r="G9" s="106" t="str">
        <f>IF(F9=" ","Замечаний нет","Перейти к замечаниям и исправить")</f>
        <v>Перейти к замечаниям и исправить</v>
      </c>
      <c r="H9" s="107">
        <f>IF(F9=" ",0,1)</f>
        <v>1</v>
      </c>
      <c r="I9" s="108"/>
      <c r="J9" s="108"/>
      <c r="K9" s="109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</row>
    <row r="10" spans="1:30" ht="10.5" customHeight="1" x14ac:dyDescent="0.25"/>
    <row r="11" spans="1:30" s="110" customFormat="1" ht="30" customHeight="1" x14ac:dyDescent="0.2">
      <c r="A11" s="104" t="s">
        <v>355</v>
      </c>
      <c r="B11" s="215" t="str">
        <f>G11</f>
        <v>Перейти к замечаниям и исправить</v>
      </c>
      <c r="C11" s="215"/>
      <c r="D11" s="215"/>
      <c r="E11" s="215"/>
      <c r="F11" s="105">
        <f>'5'!A51</f>
        <v>0</v>
      </c>
      <c r="G11" s="106" t="str">
        <f>IF(F11=" ","Замечаний нет","Перейти к замечаниям и исправить")</f>
        <v>Перейти к замечаниям и исправить</v>
      </c>
      <c r="H11" s="107">
        <f>IF(F11=" ",0,1)</f>
        <v>1</v>
      </c>
      <c r="I11" s="108"/>
      <c r="J11" s="108"/>
      <c r="K11" s="109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</row>
    <row r="12" spans="1:30" ht="10.5" customHeight="1" x14ac:dyDescent="0.25"/>
    <row r="13" spans="1:30" s="110" customFormat="1" ht="21" customHeight="1" x14ac:dyDescent="0.2">
      <c r="A13" s="104" t="s">
        <v>356</v>
      </c>
      <c r="B13" s="215" t="str">
        <f>G13</f>
        <v>Перейти к замечаниям и исправить</v>
      </c>
      <c r="C13" s="215"/>
      <c r="D13" s="215"/>
      <c r="E13" s="215"/>
      <c r="F13" s="105" t="str">
        <f>'6'!A14</f>
        <v>Замечания по заполнению анкеты</v>
      </c>
      <c r="G13" s="106" t="str">
        <f>IF(F13=" ","Замечаний нет","Перейти к замечаниям и исправить")</f>
        <v>Перейти к замечаниям и исправить</v>
      </c>
      <c r="H13" s="107">
        <f>IF(F13=" ",0,1)</f>
        <v>1</v>
      </c>
      <c r="I13" s="108"/>
      <c r="J13" s="108"/>
      <c r="K13" s="109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</row>
    <row r="14" spans="1:30" ht="10.5" customHeight="1" x14ac:dyDescent="0.25"/>
    <row r="15" spans="1:30" s="110" customFormat="1" ht="21" customHeight="1" x14ac:dyDescent="0.2">
      <c r="A15" s="104" t="s">
        <v>357</v>
      </c>
      <c r="B15" s="215" t="str">
        <f>G15</f>
        <v>Перейти к замечаниям и исправить</v>
      </c>
      <c r="C15" s="215"/>
      <c r="D15" s="215"/>
      <c r="E15" s="215"/>
      <c r="F15" s="105" t="str">
        <f>'7'!A16</f>
        <v>Замечания по заполнению анкеты</v>
      </c>
      <c r="G15" s="106" t="str">
        <f>IF(F15=" ","Замечаний нет","Перейти к замечаниям и исправить")</f>
        <v>Перейти к замечаниям и исправить</v>
      </c>
      <c r="H15" s="107">
        <f>IF(F15=" ",0,1)</f>
        <v>1</v>
      </c>
      <c r="I15" s="108"/>
      <c r="J15" s="108"/>
      <c r="K15" s="109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</row>
    <row r="16" spans="1:30" ht="10.5" customHeight="1" x14ac:dyDescent="0.25"/>
    <row r="17" spans="1:30" s="110" customFormat="1" ht="21" customHeight="1" x14ac:dyDescent="0.2">
      <c r="A17" s="104" t="s">
        <v>358</v>
      </c>
      <c r="B17" s="215" t="str">
        <f>G17</f>
        <v>Перейти к замечаниям и исправить</v>
      </c>
      <c r="C17" s="215"/>
      <c r="D17" s="215"/>
      <c r="E17" s="215"/>
      <c r="F17" s="105" t="str">
        <f>ВУЗ!A15</f>
        <v>Замечания по заполнению анкеты</v>
      </c>
      <c r="G17" s="106" t="str">
        <f>IF(F17=" ","Замечаний нет","Перейти к замечаниям и исправить")</f>
        <v>Перейти к замечаниям и исправить</v>
      </c>
      <c r="H17" s="107">
        <f>IF(F17=" ",0,1)</f>
        <v>1</v>
      </c>
      <c r="I17" s="108"/>
      <c r="J17" s="108"/>
      <c r="K17" s="109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</row>
    <row r="18" spans="1:30" ht="10.5" customHeight="1" x14ac:dyDescent="0.25"/>
    <row r="19" spans="1:30" s="110" customFormat="1" ht="30" customHeight="1" x14ac:dyDescent="0.2">
      <c r="A19" s="104" t="s">
        <v>359</v>
      </c>
      <c r="B19" s="215" t="str">
        <f>G19</f>
        <v>Перейти к замечаниям и исправить</v>
      </c>
      <c r="C19" s="215"/>
      <c r="D19" s="215"/>
      <c r="E19" s="215"/>
      <c r="F19" s="105" t="str">
        <f>'8'!A12</f>
        <v>Замечания по заполнению анкеты</v>
      </c>
      <c r="G19" s="106" t="str">
        <f>IF(F19=" ","Замечаний нет","Перейти к замечаниям и исправить")</f>
        <v>Перейти к замечаниям и исправить</v>
      </c>
      <c r="H19" s="107">
        <f>IF(F19=" ",0,1)</f>
        <v>1</v>
      </c>
      <c r="I19" s="108"/>
      <c r="J19" s="108"/>
      <c r="K19" s="109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</row>
    <row r="20" spans="1:30" ht="10.5" customHeight="1" x14ac:dyDescent="0.25"/>
    <row r="21" spans="1:30" s="110" customFormat="1" ht="21" customHeight="1" x14ac:dyDescent="0.2">
      <c r="A21" s="104" t="s">
        <v>360</v>
      </c>
      <c r="B21" s="215" t="str">
        <f>G21</f>
        <v>Перейти к замечаниям и исправить</v>
      </c>
      <c r="C21" s="215"/>
      <c r="D21" s="215"/>
      <c r="E21" s="215"/>
      <c r="F21" s="105" t="str">
        <f>'9'!A16</f>
        <v>Замечания по заполнению анкеты</v>
      </c>
      <c r="G21" s="106" t="str">
        <f>IF(F21=" ","Замечаний нет","Перейти к замечаниям и исправить")</f>
        <v>Перейти к замечаниям и исправить</v>
      </c>
      <c r="H21" s="107">
        <f>IF(F21=" ",0,1)</f>
        <v>1</v>
      </c>
      <c r="I21" s="108"/>
      <c r="J21" s="108"/>
      <c r="K21" s="109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</row>
    <row r="22" spans="1:30" ht="10.5" customHeight="1" x14ac:dyDescent="0.25"/>
    <row r="23" spans="1:30" s="110" customFormat="1" ht="21" customHeight="1" x14ac:dyDescent="0.2">
      <c r="A23" s="104" t="s">
        <v>361</v>
      </c>
      <c r="B23" s="215" t="str">
        <f>G23</f>
        <v>Перейти к замечаниям и исправить</v>
      </c>
      <c r="C23" s="215"/>
      <c r="D23" s="215"/>
      <c r="E23" s="215"/>
      <c r="F23" s="105" t="str">
        <f>'10'!A12</f>
        <v>Замечания по заполнению анкеты</v>
      </c>
      <c r="G23" s="106" t="str">
        <f>IF(F23=" ","Замечаний нет","Перейти к замечаниям и исправить")</f>
        <v>Перейти к замечаниям и исправить</v>
      </c>
      <c r="H23" s="107">
        <f>IF(F23=" ",0,1)</f>
        <v>1</v>
      </c>
      <c r="I23" s="108"/>
      <c r="J23" s="108"/>
      <c r="K23" s="109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</row>
    <row r="24" spans="1:30" ht="10.5" customHeight="1" x14ac:dyDescent="0.25"/>
    <row r="25" spans="1:30" s="110" customFormat="1" ht="30" customHeight="1" x14ac:dyDescent="0.2">
      <c r="A25" s="104" t="s">
        <v>362</v>
      </c>
      <c r="B25" s="215" t="str">
        <f>G25</f>
        <v>Перейти к замечаниям и исправить</v>
      </c>
      <c r="C25" s="215"/>
      <c r="D25" s="215"/>
      <c r="E25" s="215"/>
      <c r="F25" s="105" t="str">
        <f>'11'!A13</f>
        <v>Замечания по заполнению анкеты</v>
      </c>
      <c r="G25" s="106" t="str">
        <f>IF(F25=" ","Замечаний нет","Перейти к замечаниям и исправить")</f>
        <v>Перейти к замечаниям и исправить</v>
      </c>
      <c r="H25" s="107">
        <f>IF(F25=" ",0,1)</f>
        <v>1</v>
      </c>
      <c r="I25" s="108"/>
      <c r="J25" s="108"/>
      <c r="K25" s="109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</row>
    <row r="26" spans="1:30" ht="10.5" customHeight="1" x14ac:dyDescent="0.25"/>
    <row r="27" spans="1:30" s="110" customFormat="1" ht="30" customHeight="1" x14ac:dyDescent="0.2">
      <c r="A27" s="104" t="s">
        <v>363</v>
      </c>
      <c r="B27" s="215" t="str">
        <f>G27</f>
        <v>Перейти к замечаниям и исправить</v>
      </c>
      <c r="C27" s="215"/>
      <c r="D27" s="215"/>
      <c r="E27" s="215"/>
      <c r="F27" s="111" t="str">
        <f>'12'!A29</f>
        <v>Замечания по заполнению анкеты</v>
      </c>
      <c r="G27" s="106" t="str">
        <f>IF(F27=" ","Замечаний нет","Перейти к замечаниям и исправить")</f>
        <v>Перейти к замечаниям и исправить</v>
      </c>
      <c r="H27" s="107">
        <f>IF(F27=" ",0,1)</f>
        <v>1</v>
      </c>
      <c r="I27" s="108"/>
      <c r="J27" s="108"/>
      <c r="K27" s="109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</row>
    <row r="28" spans="1:30" ht="10.5" customHeight="1" x14ac:dyDescent="0.25"/>
    <row r="29" spans="1:30" s="110" customFormat="1" ht="16.5" customHeight="1" x14ac:dyDescent="0.2">
      <c r="A29" s="214" t="str">
        <f>G29</f>
        <v>Вы не сообщили решение о бесплатной публикации профайла. Профайл не будет опубликован. Изменить?</v>
      </c>
      <c r="B29" s="214"/>
      <c r="C29" s="214"/>
      <c r="D29" s="214"/>
      <c r="E29" s="214"/>
      <c r="F29" s="111"/>
      <c r="G29" s="106" t="str">
        <f>IF('13'!E2='11'!F6,"Вы не сообщили решение о бесплатной публикации профайла. Профайл не будет опубликован. Изменить?",'13'!K2)</f>
        <v>Вы не сообщили решение о бесплатной публикации профайла. Профайл не будет опубликован. Изменить?</v>
      </c>
      <c r="H29" s="107"/>
      <c r="I29" s="108"/>
      <c r="J29" s="108"/>
      <c r="K29" s="109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</row>
    <row r="30" spans="1:30" ht="10.5" customHeight="1" x14ac:dyDescent="0.25"/>
    <row r="31" spans="1:30" s="110" customFormat="1" ht="13.5" customHeight="1" x14ac:dyDescent="0.2">
      <c r="A31" s="214" t="str">
        <f>G31</f>
        <v>Вы не сообщили решение о подписке на рассылку. Адрес не будет добавлен в рассылку. Изменить?</v>
      </c>
      <c r="B31" s="214"/>
      <c r="C31" s="214"/>
      <c r="D31" s="214"/>
      <c r="E31" s="214"/>
      <c r="F31" s="111"/>
      <c r="G31" s="106" t="str">
        <f>IF('13'!E3='11'!F6,"Вы не сообщили решение о подписке на рассылку. Адрес не будет добавлен в рассылку. Изменить?",'13'!K3)</f>
        <v>Вы не сообщили решение о подписке на рассылку. Адрес не будет добавлен в рассылку. Изменить?</v>
      </c>
      <c r="H31" s="107"/>
      <c r="I31" s="108"/>
      <c r="J31" s="108"/>
      <c r="K31" s="109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</row>
    <row r="32" spans="1:30" ht="10.5" customHeight="1" x14ac:dyDescent="0.25"/>
    <row r="33" spans="1:30" s="110" customFormat="1" ht="13.5" customHeight="1" x14ac:dyDescent="0.2">
      <c r="A33" s="214" t="s">
        <v>364</v>
      </c>
      <c r="B33" s="214"/>
      <c r="C33" s="214"/>
      <c r="D33" s="214"/>
      <c r="E33" s="214"/>
      <c r="F33" s="111"/>
      <c r="G33" s="106"/>
      <c r="H33" s="107"/>
      <c r="I33" s="108"/>
      <c r="J33" s="108"/>
      <c r="K33" s="109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</row>
    <row r="34" spans="1:30" ht="10.5" customHeight="1" x14ac:dyDescent="0.25"/>
    <row r="35" spans="1:30" s="110" customFormat="1" ht="27" customHeight="1" x14ac:dyDescent="0.2">
      <c r="A35" s="214" t="s">
        <v>365</v>
      </c>
      <c r="B35" s="214"/>
      <c r="C35" s="214"/>
      <c r="D35" s="214"/>
      <c r="E35" s="214"/>
      <c r="F35" s="111"/>
      <c r="G35" s="106"/>
      <c r="H35" s="107"/>
      <c r="I35" s="108"/>
      <c r="J35" s="108"/>
      <c r="K35" s="109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</row>
    <row r="36" spans="1:30" ht="10.5" customHeight="1" x14ac:dyDescent="0.25"/>
    <row r="37" spans="1:30" s="110" customFormat="1" ht="30" customHeight="1" x14ac:dyDescent="0.2">
      <c r="A37" s="214" t="s">
        <v>366</v>
      </c>
      <c r="B37" s="214"/>
      <c r="C37" s="214"/>
      <c r="D37" s="214"/>
      <c r="E37" s="214"/>
      <c r="F37" s="111"/>
      <c r="G37" s="106"/>
      <c r="H37" s="107"/>
      <c r="I37" s="108"/>
      <c r="J37" s="108"/>
      <c r="K37" s="109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</row>
    <row r="38" spans="1:30" x14ac:dyDescent="0.25"/>
    <row r="39" spans="1:30" x14ac:dyDescent="0.25"/>
    <row r="40" spans="1:30" x14ac:dyDescent="0.25"/>
    <row r="41" spans="1:30" x14ac:dyDescent="0.25"/>
    <row r="42" spans="1:30" x14ac:dyDescent="0.25"/>
    <row r="43" spans="1:30" x14ac:dyDescent="0.25"/>
    <row r="44" spans="1:30" x14ac:dyDescent="0.25"/>
    <row r="45" spans="1:30" x14ac:dyDescent="0.25"/>
    <row r="46" spans="1:30" x14ac:dyDescent="0.25"/>
    <row r="47" spans="1:30" x14ac:dyDescent="0.25"/>
    <row r="48" spans="1:30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</sheetData>
  <sheetProtection selectLockedCells="1" selectUnlockedCells="1"/>
  <mergeCells count="19">
    <mergeCell ref="A1:E1"/>
    <mergeCell ref="B3:E3"/>
    <mergeCell ref="B5:E5"/>
    <mergeCell ref="B7:E7"/>
    <mergeCell ref="B9:E9"/>
    <mergeCell ref="B11:E11"/>
    <mergeCell ref="B13:E13"/>
    <mergeCell ref="B15:E15"/>
    <mergeCell ref="B17:E17"/>
    <mergeCell ref="B19:E19"/>
    <mergeCell ref="B21:E21"/>
    <mergeCell ref="B23:E23"/>
    <mergeCell ref="A37:E37"/>
    <mergeCell ref="B25:E25"/>
    <mergeCell ref="B27:E27"/>
    <mergeCell ref="A29:E29"/>
    <mergeCell ref="A31:E31"/>
    <mergeCell ref="A33:E33"/>
    <mergeCell ref="A35:E35"/>
  </mergeCells>
  <conditionalFormatting sqref="A74:E65536">
    <cfRule type="expression" dxfId="11" priority="1" stopIfTrue="1">
      <formula>NOT(ISERROR(SEARCH("перейти",A74)))</formula>
    </cfRule>
  </conditionalFormatting>
  <conditionalFormatting sqref="A1">
    <cfRule type="expression" dxfId="10" priority="2" stopIfTrue="1">
      <formula>NOT(ISERROR(SEARCH("продолжить",A1)))</formula>
    </cfRule>
  </conditionalFormatting>
  <conditionalFormatting sqref="A38:E73 A1:E32">
    <cfRule type="expression" dxfId="9" priority="3" stopIfTrue="1">
      <formula>NOT(ISERROR(SEARCH("перейти",A1)))</formula>
    </cfRule>
  </conditionalFormatting>
  <conditionalFormatting sqref="A29:E29 A31:E31">
    <cfRule type="expression" dxfId="8" priority="4" stopIfTrue="1">
      <formula>NOT(ISERROR(SEARCH(" не ",A29)))</formula>
    </cfRule>
  </conditionalFormatting>
  <conditionalFormatting sqref="A33:E33">
    <cfRule type="expression" dxfId="7" priority="5" stopIfTrue="1">
      <formula>NOT(ISERROR(SEARCH("перейти",A33)))</formula>
    </cfRule>
  </conditionalFormatting>
  <conditionalFormatting sqref="A33:E33">
    <cfRule type="expression" dxfId="6" priority="6" stopIfTrue="1">
      <formula>NOT(ISERROR(SEARCH(" не ",A33)))</formula>
    </cfRule>
  </conditionalFormatting>
  <conditionalFormatting sqref="A35:E35">
    <cfRule type="expression" dxfId="5" priority="7" stopIfTrue="1">
      <formula>NOT(ISERROR(SEARCH("перейти",A35)))</formula>
    </cfRule>
  </conditionalFormatting>
  <conditionalFormatting sqref="A35:E35">
    <cfRule type="expression" dxfId="4" priority="8" stopIfTrue="1">
      <formula>NOT(ISERROR(SEARCH(" не ",A35)))</formula>
    </cfRule>
  </conditionalFormatting>
  <conditionalFormatting sqref="A34:E34">
    <cfRule type="expression" dxfId="3" priority="9" stopIfTrue="1">
      <formula>NOT(ISERROR(SEARCH("перейти",A34)))</formula>
    </cfRule>
  </conditionalFormatting>
  <conditionalFormatting sqref="A36:E36">
    <cfRule type="expression" dxfId="2" priority="10" stopIfTrue="1">
      <formula>NOT(ISERROR(SEARCH("перейти",A36)))</formula>
    </cfRule>
  </conditionalFormatting>
  <conditionalFormatting sqref="A37:E37">
    <cfRule type="expression" dxfId="1" priority="11" stopIfTrue="1">
      <formula>NOT(ISERROR(SEARCH("перейти",A37)))</formula>
    </cfRule>
  </conditionalFormatting>
  <conditionalFormatting sqref="A37:E37">
    <cfRule type="expression" dxfId="0" priority="12" stopIfTrue="1">
      <formula>NOT(ISERROR(SEARCH(" не ",A37)))</formula>
    </cfRule>
  </conditionalFormatting>
  <hyperlinks>
    <hyperlink ref="A37" r:id="rId1"/>
  </hyperlinks>
  <pageMargins left="0.51180555555555551" right="0.51180555555555551" top="0.74861111111111112" bottom="0.74861111111111112" header="0.31527777777777777" footer="0.31527777777777777"/>
  <pageSetup paperSize="9" scale="87" firstPageNumber="0" orientation="portrait" horizontalDpi="300" verticalDpi="300"/>
  <headerFooter alignWithMargins="0">
    <oddHeader>&amp;C&amp;"Calibri,Обычный"&amp;11Анкета 13-го ежегодного исследования рынка ПО</oddHeader>
    <oddFooter>&amp;C&amp;"Calibri,Обычный"&amp;11НП "РУССОФТ", 2016 год
стр. &amp;P из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9"/>
  <sheetViews>
    <sheetView workbookViewId="0">
      <pane xSplit="2" ySplit="5" topLeftCell="GM15" activePane="bottomRight" state="frozen"/>
      <selection pane="topRight" activeCell="GM1" sqref="GM1"/>
      <selection pane="bottomLeft" activeCell="A15" sqref="A15"/>
      <selection pane="bottomRight" activeCell="HE4" sqref="HE4"/>
    </sheetView>
  </sheetViews>
  <sheetFormatPr defaultColWidth="8.7109375" defaultRowHeight="15" x14ac:dyDescent="0.25"/>
  <cols>
    <col min="1" max="1" width="4.140625" style="1" customWidth="1"/>
    <col min="2" max="3" width="12.140625" style="1" customWidth="1"/>
    <col min="4" max="4" width="11.140625" style="1" customWidth="1"/>
    <col min="5" max="5" width="13.85546875" style="1" customWidth="1"/>
    <col min="6" max="6" width="11.140625" style="1" customWidth="1"/>
    <col min="7" max="7" width="12.85546875" style="1" customWidth="1"/>
    <col min="8" max="8" width="12.42578125" style="1" customWidth="1"/>
    <col min="9" max="9" width="12" style="1" customWidth="1"/>
    <col min="10" max="10" width="12.42578125" style="1" customWidth="1"/>
    <col min="11" max="17" width="4.7109375" style="1" customWidth="1"/>
    <col min="18" max="19" width="5.7109375" style="1" customWidth="1"/>
    <col min="20" max="20" width="6.5703125" style="1" customWidth="1"/>
    <col min="21" max="21" width="4.7109375" style="1" customWidth="1"/>
    <col min="22" max="22" width="15.85546875" style="1" customWidth="1"/>
    <col min="23" max="23" width="4" style="112" customWidth="1"/>
    <col min="24" max="95" width="4.7109375" style="1" customWidth="1"/>
    <col min="96" max="96" width="4" style="112" customWidth="1"/>
    <col min="97" max="135" width="4.7109375" style="1" customWidth="1"/>
    <col min="136" max="136" width="4" style="112" customWidth="1"/>
    <col min="137" max="155" width="4.7109375" style="1" customWidth="1"/>
    <col min="156" max="156" width="15.140625" style="1" customWidth="1"/>
    <col min="157" max="157" width="4" style="112" customWidth="1"/>
    <col min="158" max="158" width="8.7109375" style="1" customWidth="1"/>
    <col min="159" max="182" width="4.7109375" style="1" customWidth="1"/>
    <col min="183" max="183" width="11.28515625" style="1" customWidth="1"/>
    <col min="184" max="198" width="4.7109375" style="1" customWidth="1"/>
    <col min="199" max="199" width="11.28515625" style="1" customWidth="1"/>
    <col min="200" max="200" width="4" style="112" customWidth="1"/>
    <col min="201" max="206" width="4.7109375" style="1" customWidth="1"/>
    <col min="207" max="207" width="4" style="112" customWidth="1"/>
    <col min="208" max="208" width="4.7109375" style="1" customWidth="1"/>
    <col min="209" max="209" width="8.42578125" style="1" customWidth="1"/>
    <col min="210" max="212" width="4.7109375" style="1" customWidth="1"/>
    <col min="213" max="16384" width="8.7109375" style="1"/>
  </cols>
  <sheetData>
    <row r="1" spans="1:256" s="113" customFormat="1" ht="12.75" customHeight="1" x14ac:dyDescent="0.25">
      <c r="A1" s="228" t="s">
        <v>367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112"/>
      <c r="X1" s="228" t="s">
        <v>368</v>
      </c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228"/>
      <c r="CF1" s="228"/>
      <c r="CG1" s="228"/>
      <c r="CH1" s="228"/>
      <c r="CI1" s="228"/>
      <c r="CJ1" s="228"/>
      <c r="CK1" s="228"/>
      <c r="CL1" s="228"/>
      <c r="CM1" s="228"/>
      <c r="CN1" s="228"/>
      <c r="CO1" s="228"/>
      <c r="CP1" s="228"/>
      <c r="CQ1" s="228"/>
      <c r="CR1" s="112"/>
      <c r="CS1" s="228" t="s">
        <v>369</v>
      </c>
      <c r="CT1" s="228"/>
      <c r="CU1" s="228"/>
      <c r="CV1" s="228"/>
      <c r="CW1" s="228"/>
      <c r="CX1" s="228"/>
      <c r="CY1" s="228"/>
      <c r="CZ1" s="228"/>
      <c r="DA1" s="228"/>
      <c r="DB1" s="228"/>
      <c r="DC1" s="228"/>
      <c r="DD1" s="228"/>
      <c r="DE1" s="228"/>
      <c r="DF1" s="228"/>
      <c r="DG1" s="228"/>
      <c r="DH1" s="228"/>
      <c r="DI1" s="228"/>
      <c r="DJ1" s="228"/>
      <c r="DK1" s="228"/>
      <c r="DL1" s="228"/>
      <c r="DM1" s="228"/>
      <c r="DN1" s="228"/>
      <c r="DO1" s="228"/>
      <c r="DP1" s="228"/>
      <c r="DQ1" s="228"/>
      <c r="DR1" s="228"/>
      <c r="DS1" s="228"/>
      <c r="DT1" s="228"/>
      <c r="DU1" s="228"/>
      <c r="DV1" s="228"/>
      <c r="DW1" s="228"/>
      <c r="DX1" s="228"/>
      <c r="DY1" s="228"/>
      <c r="DZ1" s="228"/>
      <c r="EA1" s="228"/>
      <c r="EB1" s="228"/>
      <c r="EC1" s="228"/>
      <c r="ED1" s="228"/>
      <c r="EE1" s="228"/>
      <c r="EF1" s="112"/>
      <c r="EG1" s="228" t="s">
        <v>370</v>
      </c>
      <c r="EH1" s="228"/>
      <c r="EI1" s="228"/>
      <c r="EJ1" s="228"/>
      <c r="EK1" s="228"/>
      <c r="EL1" s="228"/>
      <c r="EM1" s="228"/>
      <c r="EN1" s="228"/>
      <c r="EO1" s="228"/>
      <c r="EP1" s="228"/>
      <c r="EQ1" s="228"/>
      <c r="ER1" s="228"/>
      <c r="ES1" s="228"/>
      <c r="ET1" s="228"/>
      <c r="EU1" s="228"/>
      <c r="EV1" s="228"/>
      <c r="EW1" s="228"/>
      <c r="EX1" s="228"/>
      <c r="EY1" s="228"/>
      <c r="EZ1" s="228"/>
      <c r="FA1" s="112"/>
      <c r="FB1" s="228" t="s">
        <v>371</v>
      </c>
      <c r="FC1" s="228"/>
      <c r="FD1" s="228"/>
      <c r="FE1" s="228"/>
      <c r="FF1" s="228"/>
      <c r="FG1" s="228"/>
      <c r="FH1" s="228"/>
      <c r="FI1" s="228"/>
      <c r="FJ1" s="228"/>
      <c r="FK1" s="228"/>
      <c r="FL1" s="228"/>
      <c r="FM1" s="228"/>
      <c r="FN1" s="228"/>
      <c r="FO1" s="228"/>
      <c r="FP1" s="228"/>
      <c r="FQ1" s="228"/>
      <c r="FR1" s="228"/>
      <c r="FS1" s="228"/>
      <c r="FT1" s="228"/>
      <c r="FU1" s="228"/>
      <c r="FV1" s="228"/>
      <c r="FW1" s="228"/>
      <c r="FX1" s="228"/>
      <c r="FY1" s="228"/>
      <c r="FZ1" s="228"/>
      <c r="GA1" s="228"/>
      <c r="GB1" s="228"/>
      <c r="GC1" s="228"/>
      <c r="GD1" s="228"/>
      <c r="GE1" s="228"/>
      <c r="GF1" s="228"/>
      <c r="GG1" s="228"/>
      <c r="GH1" s="228"/>
      <c r="GI1" s="228"/>
      <c r="GJ1" s="228"/>
      <c r="GK1" s="228"/>
      <c r="GL1" s="228"/>
      <c r="GM1" s="228"/>
      <c r="GN1" s="228"/>
      <c r="GO1" s="228"/>
      <c r="GP1" s="228"/>
      <c r="GQ1" s="228"/>
      <c r="GR1" s="112"/>
      <c r="GS1" s="228" t="s">
        <v>372</v>
      </c>
      <c r="GT1" s="228"/>
      <c r="GU1" s="228"/>
      <c r="GV1" s="228"/>
      <c r="GW1" s="228"/>
      <c r="GX1" s="228"/>
      <c r="GY1" s="112"/>
      <c r="GZ1" s="1" t="s">
        <v>373</v>
      </c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116" customFormat="1" ht="21.75" customHeight="1" x14ac:dyDescent="0.25">
      <c r="A2" s="227" t="s">
        <v>1</v>
      </c>
      <c r="B2" s="225" t="str">
        <f>анкета!A2</f>
        <v>1. Название компании (Рус.)</v>
      </c>
      <c r="C2" s="225" t="str">
        <f>анкета!A3</f>
        <v>2. Название компании (Англ.)</v>
      </c>
      <c r="D2" s="225" t="str">
        <f>анкета!A4</f>
        <v>3. Год основания компании. Для иностранных компаний — год основания головного российского офиса</v>
      </c>
      <c r="E2" s="225" t="str">
        <f>анкета!A5</f>
        <v>4. Головной офис компании в России (город)     Для иностранных компаний — головной офис (центр разработки) в России</v>
      </c>
      <c r="F2" s="225" t="str">
        <f>анкета!A6</f>
        <v>5. Адрес веб-сайта компании</v>
      </c>
      <c r="G2" s="225" t="str">
        <f>анкета!A7</f>
        <v>6. Адрес электронной почты</v>
      </c>
      <c r="H2" s="225" t="str">
        <f>анкета!A8</f>
        <v>7. Контактный телефон</v>
      </c>
      <c r="I2" s="225" t="str">
        <f>анкета!A10</f>
        <v>Контактное лицо (ФИО)</v>
      </c>
      <c r="J2" s="226" t="e">
        <f>анкета!#REF!</f>
        <v>#REF!</v>
      </c>
      <c r="K2" s="219" t="str">
        <f>анкета!A12</f>
        <v>9. Специализация компании.                                                Отметьте все необходимое (хотя бы 1 вариант)</v>
      </c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115"/>
      <c r="X2" s="221" t="str">
        <f>анкета!A26</f>
        <v>Удаленные центры разработки</v>
      </c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F2" s="221"/>
      <c r="BG2" s="221"/>
      <c r="BH2" s="221" t="s">
        <v>77</v>
      </c>
      <c r="BI2" s="221"/>
      <c r="BJ2" s="221"/>
      <c r="BK2" s="221"/>
      <c r="BL2" s="221"/>
      <c r="BM2" s="221"/>
      <c r="BN2" s="221"/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221"/>
      <c r="CC2" s="221"/>
      <c r="CD2" s="221"/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115"/>
      <c r="CS2" s="222" t="s">
        <v>374</v>
      </c>
      <c r="CT2" s="222"/>
      <c r="CU2" s="222"/>
      <c r="CV2" s="222"/>
      <c r="CW2" s="222"/>
      <c r="CX2" s="222"/>
      <c r="CY2" s="222"/>
      <c r="CZ2" s="222"/>
      <c r="DA2" s="222"/>
      <c r="DB2" s="222"/>
      <c r="DC2" s="222"/>
      <c r="DD2" s="222"/>
      <c r="DE2" s="222"/>
      <c r="DF2" s="222"/>
      <c r="DG2" s="222"/>
      <c r="DH2" s="222"/>
      <c r="DI2" s="222"/>
      <c r="DJ2" s="222"/>
      <c r="DK2" s="222"/>
      <c r="DL2" s="222"/>
      <c r="DM2" s="222"/>
      <c r="DN2" s="222"/>
      <c r="DO2" s="222"/>
      <c r="DP2" s="222"/>
      <c r="DQ2" s="222"/>
      <c r="DR2" s="222"/>
      <c r="DS2" s="222"/>
      <c r="DT2" s="222"/>
      <c r="DU2" s="222"/>
      <c r="DV2" s="222"/>
      <c r="DW2" s="222"/>
      <c r="DX2" s="222"/>
      <c r="DY2" s="222"/>
      <c r="DZ2" s="222"/>
      <c r="EA2" s="222"/>
      <c r="EB2" s="222"/>
      <c r="EC2" s="222"/>
      <c r="ED2" s="222"/>
      <c r="EE2" s="222"/>
      <c r="EF2" s="115"/>
      <c r="EG2" s="220" t="s">
        <v>375</v>
      </c>
      <c r="EH2" s="220"/>
      <c r="EI2" s="220"/>
      <c r="EJ2" s="220"/>
      <c r="EK2" s="220"/>
      <c r="EL2" s="220"/>
      <c r="EM2" s="220"/>
      <c r="EN2" s="220"/>
      <c r="EO2" s="220"/>
      <c r="EP2" s="220"/>
      <c r="EQ2" s="220"/>
      <c r="ER2" s="220"/>
      <c r="ES2" s="220"/>
      <c r="ET2" s="220"/>
      <c r="EU2" s="220"/>
      <c r="EV2" s="220"/>
      <c r="EW2" s="220"/>
      <c r="EX2" s="220"/>
      <c r="EY2" s="220"/>
      <c r="EZ2" s="220"/>
      <c r="FA2" s="112"/>
      <c r="FB2" s="218" t="s">
        <v>376</v>
      </c>
      <c r="FC2" s="217" t="s">
        <v>377</v>
      </c>
      <c r="FD2" s="217"/>
      <c r="FE2" s="217"/>
      <c r="FF2" s="217"/>
      <c r="FG2" s="217"/>
      <c r="FH2" s="217"/>
      <c r="FI2" s="217"/>
      <c r="FJ2" s="217"/>
      <c r="FK2" s="223" t="s">
        <v>378</v>
      </c>
      <c r="FL2" s="223"/>
      <c r="FM2" s="223"/>
      <c r="FN2" s="223"/>
      <c r="FO2" s="223"/>
      <c r="FP2" s="223"/>
      <c r="FQ2" s="217" t="s">
        <v>379</v>
      </c>
      <c r="FR2" s="217"/>
      <c r="FS2" s="217"/>
      <c r="FT2" s="217"/>
      <c r="FU2" s="217"/>
      <c r="FV2" s="217"/>
      <c r="FW2" s="217"/>
      <c r="FX2" s="217"/>
      <c r="FY2" s="217"/>
      <c r="FZ2" s="217"/>
      <c r="GA2" s="217"/>
      <c r="GB2" s="217" t="s">
        <v>380</v>
      </c>
      <c r="GC2" s="217"/>
      <c r="GD2" s="217"/>
      <c r="GE2" s="217"/>
      <c r="GF2" s="217"/>
      <c r="GG2" s="217"/>
      <c r="GH2" s="217"/>
      <c r="GI2" s="217"/>
      <c r="GJ2" s="217"/>
      <c r="GK2" s="217"/>
      <c r="GL2" s="217"/>
      <c r="GM2" s="217"/>
      <c r="GN2" s="217"/>
      <c r="GO2" s="217"/>
      <c r="GP2" s="217"/>
      <c r="GQ2" s="217"/>
      <c r="GR2" s="112"/>
      <c r="GS2" s="220" t="s">
        <v>381</v>
      </c>
      <c r="GT2" s="220"/>
      <c r="GU2" s="220"/>
      <c r="GV2" s="220"/>
      <c r="GW2" s="218" t="s">
        <v>382</v>
      </c>
      <c r="GX2" s="218" t="s">
        <v>383</v>
      </c>
      <c r="GY2" s="112"/>
      <c r="GZ2" s="218" t="s">
        <v>384</v>
      </c>
      <c r="HA2" s="217" t="s">
        <v>385</v>
      </c>
      <c r="HB2" s="217"/>
      <c r="HC2" s="218" t="s">
        <v>386</v>
      </c>
      <c r="HD2" s="218" t="s">
        <v>387</v>
      </c>
      <c r="HE2" s="217" t="s">
        <v>388</v>
      </c>
      <c r="HF2" s="217"/>
      <c r="HG2" s="110"/>
      <c r="HH2" s="110"/>
      <c r="HI2" s="110"/>
      <c r="HJ2" s="110"/>
      <c r="HK2" s="110"/>
      <c r="HL2" s="110"/>
      <c r="HM2" s="110"/>
      <c r="HN2" s="110"/>
      <c r="HO2" s="110"/>
      <c r="HP2" s="110"/>
      <c r="HQ2" s="110"/>
      <c r="HR2" s="110"/>
      <c r="HS2" s="110"/>
      <c r="HT2" s="110"/>
      <c r="HU2" s="110"/>
      <c r="HV2" s="110"/>
      <c r="HW2" s="110"/>
      <c r="HX2" s="110"/>
      <c r="HY2" s="110"/>
      <c r="HZ2" s="110"/>
      <c r="IA2" s="110"/>
      <c r="IB2" s="110"/>
      <c r="IC2" s="110"/>
      <c r="ID2" s="110"/>
      <c r="IE2" s="110"/>
      <c r="IF2" s="110"/>
      <c r="IG2" s="110"/>
      <c r="IH2" s="110"/>
      <c r="II2" s="110"/>
      <c r="IJ2" s="110"/>
      <c r="IK2" s="110"/>
      <c r="IL2" s="110"/>
      <c r="IM2" s="110"/>
      <c r="IN2" s="110"/>
      <c r="IO2" s="110"/>
      <c r="IP2" s="110"/>
      <c r="IQ2" s="110"/>
      <c r="IR2" s="110"/>
      <c r="IS2" s="110"/>
      <c r="IT2" s="110"/>
      <c r="IU2" s="110"/>
      <c r="IV2" s="110"/>
    </row>
    <row r="3" spans="1:256" s="114" customFormat="1" ht="15.75" customHeight="1" x14ac:dyDescent="0.25">
      <c r="A3" s="227"/>
      <c r="B3" s="225"/>
      <c r="C3" s="225"/>
      <c r="D3" s="225"/>
      <c r="E3" s="225"/>
      <c r="F3" s="225"/>
      <c r="G3" s="225"/>
      <c r="H3" s="225"/>
      <c r="I3" s="225"/>
      <c r="J3" s="226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115"/>
      <c r="X3" s="219">
        <v>2015</v>
      </c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>
        <v>2016</v>
      </c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>
        <v>2017</v>
      </c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>
        <v>2015</v>
      </c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19">
        <v>2016</v>
      </c>
      <c r="BU3" s="219"/>
      <c r="BV3" s="219"/>
      <c r="BW3" s="219"/>
      <c r="BX3" s="219"/>
      <c r="BY3" s="219"/>
      <c r="BZ3" s="219"/>
      <c r="CA3" s="219"/>
      <c r="CB3" s="219"/>
      <c r="CC3" s="219"/>
      <c r="CD3" s="219"/>
      <c r="CE3" s="219"/>
      <c r="CF3" s="219">
        <v>2017</v>
      </c>
      <c r="CG3" s="219"/>
      <c r="CH3" s="219"/>
      <c r="CI3" s="219"/>
      <c r="CJ3" s="219"/>
      <c r="CK3" s="219"/>
      <c r="CL3" s="219"/>
      <c r="CM3" s="219"/>
      <c r="CN3" s="219"/>
      <c r="CO3" s="219"/>
      <c r="CP3" s="219"/>
      <c r="CQ3" s="219"/>
      <c r="CR3" s="115"/>
      <c r="CS3" s="224">
        <v>2015</v>
      </c>
      <c r="CT3" s="224"/>
      <c r="CU3" s="224"/>
      <c r="CV3" s="224"/>
      <c r="CW3" s="224"/>
      <c r="CX3" s="224"/>
      <c r="CY3" s="224"/>
      <c r="CZ3" s="224"/>
      <c r="DA3" s="224"/>
      <c r="DB3" s="224"/>
      <c r="DC3" s="224"/>
      <c r="DD3" s="224"/>
      <c r="DE3" s="224"/>
      <c r="DF3" s="224">
        <v>2016</v>
      </c>
      <c r="DG3" s="224"/>
      <c r="DH3" s="224"/>
      <c r="DI3" s="224"/>
      <c r="DJ3" s="224"/>
      <c r="DK3" s="224"/>
      <c r="DL3" s="224"/>
      <c r="DM3" s="224"/>
      <c r="DN3" s="224"/>
      <c r="DO3" s="224"/>
      <c r="DP3" s="224"/>
      <c r="DQ3" s="224"/>
      <c r="DR3" s="224"/>
      <c r="DS3" s="224">
        <v>2016</v>
      </c>
      <c r="DT3" s="224"/>
      <c r="DU3" s="224"/>
      <c r="DV3" s="224"/>
      <c r="DW3" s="224"/>
      <c r="DX3" s="224"/>
      <c r="DY3" s="224"/>
      <c r="DZ3" s="224"/>
      <c r="EA3" s="224"/>
      <c r="EB3" s="224"/>
      <c r="EC3" s="224"/>
      <c r="ED3" s="224"/>
      <c r="EE3" s="224"/>
      <c r="EF3" s="115"/>
      <c r="EG3" s="220"/>
      <c r="EH3" s="220"/>
      <c r="EI3" s="220"/>
      <c r="EJ3" s="220"/>
      <c r="EK3" s="220"/>
      <c r="EL3" s="220"/>
      <c r="EM3" s="220"/>
      <c r="EN3" s="220"/>
      <c r="EO3" s="220"/>
      <c r="EP3" s="220"/>
      <c r="EQ3" s="220"/>
      <c r="ER3" s="220"/>
      <c r="ES3" s="220"/>
      <c r="ET3" s="220"/>
      <c r="EU3" s="220"/>
      <c r="EV3" s="220"/>
      <c r="EW3" s="220"/>
      <c r="EX3" s="220"/>
      <c r="EY3" s="220"/>
      <c r="EZ3" s="220"/>
      <c r="FA3" s="112"/>
      <c r="FB3" s="218"/>
      <c r="FC3" s="217"/>
      <c r="FD3" s="217"/>
      <c r="FE3" s="217"/>
      <c r="FF3" s="217"/>
      <c r="FG3" s="217"/>
      <c r="FH3" s="217"/>
      <c r="FI3" s="217"/>
      <c r="FJ3" s="217"/>
      <c r="FK3" s="223"/>
      <c r="FL3" s="223"/>
      <c r="FM3" s="223"/>
      <c r="FN3" s="223"/>
      <c r="FO3" s="223"/>
      <c r="FP3" s="223"/>
      <c r="FQ3" s="217"/>
      <c r="FR3" s="217"/>
      <c r="FS3" s="217"/>
      <c r="FT3" s="217"/>
      <c r="FU3" s="217"/>
      <c r="FV3" s="217"/>
      <c r="FW3" s="217"/>
      <c r="FX3" s="217"/>
      <c r="FY3" s="217"/>
      <c r="FZ3" s="217"/>
      <c r="GA3" s="217"/>
      <c r="GB3" s="217"/>
      <c r="GC3" s="217"/>
      <c r="GD3" s="217"/>
      <c r="GE3" s="217"/>
      <c r="GF3" s="217"/>
      <c r="GG3" s="217"/>
      <c r="GH3" s="217"/>
      <c r="GI3" s="217"/>
      <c r="GJ3" s="217"/>
      <c r="GK3" s="217"/>
      <c r="GL3" s="217"/>
      <c r="GM3" s="217"/>
      <c r="GN3" s="217"/>
      <c r="GO3" s="217"/>
      <c r="GP3" s="217"/>
      <c r="GQ3" s="217"/>
      <c r="GR3" s="112"/>
      <c r="GS3" s="220"/>
      <c r="GT3" s="220"/>
      <c r="GU3" s="220"/>
      <c r="GV3" s="220"/>
      <c r="GW3" s="218"/>
      <c r="GX3" s="218"/>
      <c r="GY3" s="112"/>
      <c r="GZ3" s="218"/>
      <c r="HA3" s="217"/>
      <c r="HB3" s="217"/>
      <c r="HC3" s="218"/>
      <c r="HD3" s="218"/>
      <c r="HE3" s="217"/>
      <c r="HF3" s="217"/>
      <c r="HG3" s="110"/>
      <c r="HH3" s="110"/>
      <c r="HI3" s="110"/>
      <c r="HJ3" s="110"/>
      <c r="HK3" s="110"/>
      <c r="HL3" s="110"/>
      <c r="HM3" s="110"/>
      <c r="HN3" s="110"/>
      <c r="HO3" s="110"/>
      <c r="HP3" s="110"/>
      <c r="HQ3" s="110"/>
      <c r="HR3" s="110"/>
      <c r="HS3" s="110"/>
      <c r="HT3" s="110"/>
      <c r="HU3" s="110"/>
      <c r="HV3" s="110"/>
      <c r="HW3" s="110"/>
      <c r="HX3" s="110"/>
      <c r="HY3" s="110"/>
      <c r="HZ3" s="110"/>
      <c r="IA3" s="110"/>
      <c r="IB3" s="110"/>
      <c r="IC3" s="110"/>
      <c r="ID3" s="110"/>
      <c r="IE3" s="110"/>
      <c r="IF3" s="110"/>
      <c r="IG3" s="110"/>
      <c r="IH3" s="110"/>
      <c r="II3" s="110"/>
      <c r="IJ3" s="110"/>
      <c r="IK3" s="110"/>
      <c r="IL3" s="110"/>
      <c r="IM3" s="110"/>
      <c r="IN3" s="110"/>
      <c r="IO3" s="110"/>
      <c r="IP3" s="110"/>
      <c r="IQ3" s="110"/>
      <c r="IR3" s="110"/>
      <c r="IS3" s="110"/>
      <c r="IT3" s="110"/>
      <c r="IU3" s="110"/>
      <c r="IV3" s="110"/>
    </row>
    <row r="4" spans="1:256" s="110" customFormat="1" ht="200.1" customHeight="1" x14ac:dyDescent="0.25">
      <c r="A4" s="227"/>
      <c r="B4" s="225"/>
      <c r="C4" s="225"/>
      <c r="D4" s="225"/>
      <c r="E4" s="225"/>
      <c r="F4" s="225"/>
      <c r="G4" s="225"/>
      <c r="H4" s="225"/>
      <c r="I4" s="225"/>
      <c r="J4" s="226"/>
      <c r="K4" s="117" t="str">
        <f>анкета!B12</f>
        <v>Заказная разработка</v>
      </c>
      <c r="L4" s="118" t="str">
        <f>анкета!B13</f>
        <v>Мобильные приложения</v>
      </c>
      <c r="M4" s="118" t="str">
        <f>анкета!B14</f>
        <v>Разработка сайтов</v>
      </c>
      <c r="N4" s="118" t="str">
        <f>анкета!B15</f>
        <v>Компьютерные игры</v>
      </c>
      <c r="O4" s="118" t="s">
        <v>389</v>
      </c>
      <c r="P4" s="118" t="str">
        <f>анкета!B17</f>
        <v>Навигационные системы и Геоинформационные системы (ГИС)</v>
      </c>
      <c r="Q4" s="118" t="e">
        <f>анкета!#REF!</f>
        <v>#REF!</v>
      </c>
      <c r="R4" s="118" t="s">
        <v>390</v>
      </c>
      <c r="S4" s="118" t="str">
        <f>анкета!B19</f>
        <v>Решения в сфере информационной безопасности</v>
      </c>
      <c r="T4" s="118" t="s">
        <v>391</v>
      </c>
      <c r="U4" s="118" t="str">
        <f>анкета!B21</f>
        <v>Проведение научных исследований</v>
      </c>
      <c r="V4" s="119" t="str">
        <f>анкета!B22</f>
        <v>Другое</v>
      </c>
      <c r="W4" s="115"/>
      <c r="X4" s="120" t="str">
        <f>анкета!A28</f>
        <v>В других городах России</v>
      </c>
      <c r="Y4" s="121" t="str">
        <f>анкета!A29</f>
        <v>В городах Беларуси</v>
      </c>
      <c r="Z4" s="121" t="str">
        <f>анкета!A30</f>
        <v>В городах Украины</v>
      </c>
      <c r="AA4" s="121" t="str">
        <f>анкета!A31</f>
        <v>В других странах бывшего СССР</v>
      </c>
      <c r="AB4" s="121" t="str">
        <f>анкета!A32</f>
        <v>В США или Канаде</v>
      </c>
      <c r="AC4" s="121" t="str">
        <f>анкета!A35</f>
        <v>В других странах Западной Европы</v>
      </c>
      <c r="AD4" s="121" t="str">
        <f>анкета!A36</f>
        <v>В странах Центральной и Восточной Европы</v>
      </c>
      <c r="AE4" s="121" t="str">
        <f>анкета!A37</f>
        <v>В странах Южной и Восточной Азии</v>
      </c>
      <c r="AF4" s="121" t="str">
        <f>анкета!A38</f>
        <v>В странах Африки </v>
      </c>
      <c r="AG4" s="121" t="str">
        <f>анкета!A39</f>
        <v>В странах Южной и Центральной Америки</v>
      </c>
      <c r="AH4" s="121" t="str">
        <f>анкета!A40</f>
        <v>В странах Ближнего Востока</v>
      </c>
      <c r="AI4" s="122" t="str">
        <f>анкета!A42</f>
        <v>Нет центров разработки</v>
      </c>
      <c r="AJ4" s="120" t="str">
        <f t="shared" ref="AJ4:BR4" si="0">X4</f>
        <v>В других городах России</v>
      </c>
      <c r="AK4" s="121" t="str">
        <f t="shared" si="0"/>
        <v>В городах Беларуси</v>
      </c>
      <c r="AL4" s="121" t="str">
        <f t="shared" si="0"/>
        <v>В городах Украины</v>
      </c>
      <c r="AM4" s="121" t="str">
        <f t="shared" si="0"/>
        <v>В других странах бывшего СССР</v>
      </c>
      <c r="AN4" s="121" t="str">
        <f t="shared" si="0"/>
        <v>В США или Канаде</v>
      </c>
      <c r="AO4" s="121" t="str">
        <f t="shared" si="0"/>
        <v>В других странах Западной Европы</v>
      </c>
      <c r="AP4" s="121" t="str">
        <f t="shared" si="0"/>
        <v>В странах Центральной и Восточной Европы</v>
      </c>
      <c r="AQ4" s="121" t="str">
        <f t="shared" si="0"/>
        <v>В странах Южной и Восточной Азии</v>
      </c>
      <c r="AR4" s="121" t="str">
        <f t="shared" si="0"/>
        <v>В странах Африки </v>
      </c>
      <c r="AS4" s="121" t="str">
        <f t="shared" si="0"/>
        <v>В странах Южной и Центральной Америки</v>
      </c>
      <c r="AT4" s="121" t="str">
        <f t="shared" si="0"/>
        <v>В странах Ближнего Востока</v>
      </c>
      <c r="AU4" s="122" t="str">
        <f t="shared" si="0"/>
        <v>Нет центров разработки</v>
      </c>
      <c r="AV4" s="120" t="str">
        <f t="shared" si="0"/>
        <v>В других городах России</v>
      </c>
      <c r="AW4" s="121" t="str">
        <f t="shared" si="0"/>
        <v>В городах Беларуси</v>
      </c>
      <c r="AX4" s="121" t="str">
        <f t="shared" si="0"/>
        <v>В городах Украины</v>
      </c>
      <c r="AY4" s="121" t="str">
        <f t="shared" si="0"/>
        <v>В других странах бывшего СССР</v>
      </c>
      <c r="AZ4" s="121" t="str">
        <f t="shared" si="0"/>
        <v>В США или Канаде</v>
      </c>
      <c r="BA4" s="121" t="str">
        <f t="shared" si="0"/>
        <v>В других странах Западной Европы</v>
      </c>
      <c r="BB4" s="121" t="str">
        <f t="shared" si="0"/>
        <v>В странах Центральной и Восточной Европы</v>
      </c>
      <c r="BC4" s="121" t="str">
        <f t="shared" si="0"/>
        <v>В странах Южной и Восточной Азии</v>
      </c>
      <c r="BD4" s="121" t="str">
        <f t="shared" si="0"/>
        <v>В странах Африки </v>
      </c>
      <c r="BE4" s="121" t="str">
        <f t="shared" si="0"/>
        <v>В странах Южной и Центральной Америки</v>
      </c>
      <c r="BF4" s="121" t="str">
        <f t="shared" si="0"/>
        <v>В странах Ближнего Востока</v>
      </c>
      <c r="BG4" s="122" t="str">
        <f t="shared" si="0"/>
        <v>Нет центров разработки</v>
      </c>
      <c r="BH4" s="120" t="str">
        <f t="shared" si="0"/>
        <v>В других городах России</v>
      </c>
      <c r="BI4" s="121" t="str">
        <f t="shared" si="0"/>
        <v>В городах Беларуси</v>
      </c>
      <c r="BJ4" s="121" t="str">
        <f t="shared" si="0"/>
        <v>В городах Украины</v>
      </c>
      <c r="BK4" s="121" t="str">
        <f t="shared" si="0"/>
        <v>В других странах бывшего СССР</v>
      </c>
      <c r="BL4" s="121" t="str">
        <f t="shared" si="0"/>
        <v>В США или Канаде</v>
      </c>
      <c r="BM4" s="121" t="str">
        <f t="shared" si="0"/>
        <v>В других странах Западной Европы</v>
      </c>
      <c r="BN4" s="121" t="str">
        <f t="shared" si="0"/>
        <v>В странах Центральной и Восточной Европы</v>
      </c>
      <c r="BO4" s="121" t="str">
        <f t="shared" si="0"/>
        <v>В странах Южной и Восточной Азии</v>
      </c>
      <c r="BP4" s="121" t="str">
        <f t="shared" si="0"/>
        <v>В странах Африки </v>
      </c>
      <c r="BQ4" s="121" t="str">
        <f t="shared" si="0"/>
        <v>В странах Южной и Центральной Америки</v>
      </c>
      <c r="BR4" s="121" t="str">
        <f t="shared" si="0"/>
        <v>В странах Ближнего Востока</v>
      </c>
      <c r="BS4" s="122" t="s">
        <v>392</v>
      </c>
      <c r="BT4" s="120" t="str">
        <f t="shared" ref="BT4:CQ4" si="1">BH4</f>
        <v>В других городах России</v>
      </c>
      <c r="BU4" s="121" t="str">
        <f t="shared" si="1"/>
        <v>В городах Беларуси</v>
      </c>
      <c r="BV4" s="121" t="str">
        <f t="shared" si="1"/>
        <v>В городах Украины</v>
      </c>
      <c r="BW4" s="121" t="str">
        <f t="shared" si="1"/>
        <v>В других странах бывшего СССР</v>
      </c>
      <c r="BX4" s="121" t="str">
        <f t="shared" si="1"/>
        <v>В США или Канаде</v>
      </c>
      <c r="BY4" s="121" t="str">
        <f t="shared" si="1"/>
        <v>В других странах Западной Европы</v>
      </c>
      <c r="BZ4" s="121" t="str">
        <f t="shared" si="1"/>
        <v>В странах Центральной и Восточной Европы</v>
      </c>
      <c r="CA4" s="121" t="str">
        <f t="shared" si="1"/>
        <v>В странах Южной и Восточной Азии</v>
      </c>
      <c r="CB4" s="121" t="str">
        <f t="shared" si="1"/>
        <v>В странах Африки </v>
      </c>
      <c r="CC4" s="121" t="str">
        <f t="shared" si="1"/>
        <v>В странах Южной и Центральной Америки</v>
      </c>
      <c r="CD4" s="121" t="str">
        <f t="shared" si="1"/>
        <v>В странах Ближнего Востока</v>
      </c>
      <c r="CE4" s="122" t="str">
        <f t="shared" si="1"/>
        <v>нет представительств</v>
      </c>
      <c r="CF4" s="120" t="str">
        <f t="shared" si="1"/>
        <v>В других городах России</v>
      </c>
      <c r="CG4" s="121" t="str">
        <f t="shared" si="1"/>
        <v>В городах Беларуси</v>
      </c>
      <c r="CH4" s="121" t="str">
        <f t="shared" si="1"/>
        <v>В городах Украины</v>
      </c>
      <c r="CI4" s="121" t="str">
        <f t="shared" si="1"/>
        <v>В других странах бывшего СССР</v>
      </c>
      <c r="CJ4" s="121" t="str">
        <f t="shared" si="1"/>
        <v>В США или Канаде</v>
      </c>
      <c r="CK4" s="121" t="str">
        <f t="shared" si="1"/>
        <v>В других странах Западной Европы</v>
      </c>
      <c r="CL4" s="121" t="str">
        <f t="shared" si="1"/>
        <v>В странах Центральной и Восточной Европы</v>
      </c>
      <c r="CM4" s="121" t="str">
        <f t="shared" si="1"/>
        <v>В странах Южной и Восточной Азии</v>
      </c>
      <c r="CN4" s="121" t="str">
        <f t="shared" si="1"/>
        <v>В странах Африки </v>
      </c>
      <c r="CO4" s="121" t="str">
        <f t="shared" si="1"/>
        <v>В странах Южной и Центральной Америки</v>
      </c>
      <c r="CP4" s="121" t="str">
        <f t="shared" si="1"/>
        <v>В странах Ближнего Востока</v>
      </c>
      <c r="CQ4" s="122" t="str">
        <f t="shared" si="1"/>
        <v>нет представительств</v>
      </c>
      <c r="CR4" s="115"/>
      <c r="CS4" s="123" t="str">
        <f>анкета!A63</f>
        <v>В других городах России</v>
      </c>
      <c r="CT4" s="124" t="str">
        <f>анкета!A64</f>
        <v>В городах Беларуси</v>
      </c>
      <c r="CU4" s="124" t="str">
        <f>анкета!A65</f>
        <v>В городах Украины</v>
      </c>
      <c r="CV4" s="124" t="str">
        <f>анкета!A66</f>
        <v>В других странах бывшего СССР</v>
      </c>
      <c r="CW4" s="124" t="str">
        <f>анкета!A67</f>
        <v>В США или Канаде</v>
      </c>
      <c r="CX4" s="124" t="str">
        <f>анкета!A68</f>
        <v>В Германии и немецко-говорящих странах</v>
      </c>
      <c r="CY4" s="124" t="str">
        <f>анкета!A69</f>
        <v>В Скандинавии и Финляндии</v>
      </c>
      <c r="CZ4" s="124" t="str">
        <f>анкета!A71</f>
        <v>В странах Центральной и Восточной Европы</v>
      </c>
      <c r="DA4" s="124" t="str">
        <f>анкета!A72</f>
        <v>В странах Южной и Восточной Азии</v>
      </c>
      <c r="DB4" s="124" t="str">
        <f>анкета!A73</f>
        <v>В странах Африки </v>
      </c>
      <c r="DC4" s="124" t="str">
        <f>анкета!A74</f>
        <v>В странах Южной и Центральной Америки</v>
      </c>
      <c r="DD4" s="124" t="str">
        <f>анкета!A75</f>
        <v>В странах Ближнего Востока</v>
      </c>
      <c r="DE4" s="125" t="str">
        <f>анкета!A76</f>
        <v>В Австралии</v>
      </c>
      <c r="DF4" s="123" t="str">
        <f t="shared" ref="DF4:EE4" si="2">CS4</f>
        <v>В других городах России</v>
      </c>
      <c r="DG4" s="124" t="str">
        <f t="shared" si="2"/>
        <v>В городах Беларуси</v>
      </c>
      <c r="DH4" s="124" t="str">
        <f t="shared" si="2"/>
        <v>В городах Украины</v>
      </c>
      <c r="DI4" s="124" t="str">
        <f t="shared" si="2"/>
        <v>В других странах бывшего СССР</v>
      </c>
      <c r="DJ4" s="124" t="str">
        <f t="shared" si="2"/>
        <v>В США или Канаде</v>
      </c>
      <c r="DK4" s="124" t="str">
        <f t="shared" si="2"/>
        <v>В Германии и немецко-говорящих странах</v>
      </c>
      <c r="DL4" s="124" t="str">
        <f t="shared" si="2"/>
        <v>В Скандинавии и Финляндии</v>
      </c>
      <c r="DM4" s="124" t="str">
        <f t="shared" si="2"/>
        <v>В странах Центральной и Восточной Европы</v>
      </c>
      <c r="DN4" s="124" t="str">
        <f t="shared" si="2"/>
        <v>В странах Южной и Восточной Азии</v>
      </c>
      <c r="DO4" s="124" t="str">
        <f t="shared" si="2"/>
        <v>В странах Африки </v>
      </c>
      <c r="DP4" s="124" t="str">
        <f t="shared" si="2"/>
        <v>В странах Южной и Центральной Америки</v>
      </c>
      <c r="DQ4" s="124" t="str">
        <f t="shared" si="2"/>
        <v>В странах Ближнего Востока</v>
      </c>
      <c r="DR4" s="125" t="str">
        <f t="shared" si="2"/>
        <v>В Австралии</v>
      </c>
      <c r="DS4" s="123" t="str">
        <f t="shared" si="2"/>
        <v>В других городах России</v>
      </c>
      <c r="DT4" s="124" t="str">
        <f t="shared" si="2"/>
        <v>В городах Беларуси</v>
      </c>
      <c r="DU4" s="124" t="str">
        <f t="shared" si="2"/>
        <v>В городах Украины</v>
      </c>
      <c r="DV4" s="124" t="str">
        <f t="shared" si="2"/>
        <v>В других странах бывшего СССР</v>
      </c>
      <c r="DW4" s="124" t="str">
        <f t="shared" si="2"/>
        <v>В США или Канаде</v>
      </c>
      <c r="DX4" s="124" t="str">
        <f t="shared" si="2"/>
        <v>В Германии и немецко-говорящих странах</v>
      </c>
      <c r="DY4" s="124" t="str">
        <f t="shared" si="2"/>
        <v>В Скандинавии и Финляндии</v>
      </c>
      <c r="DZ4" s="124" t="str">
        <f t="shared" si="2"/>
        <v>В странах Центральной и Восточной Европы</v>
      </c>
      <c r="EA4" s="124" t="str">
        <f t="shared" si="2"/>
        <v>В странах Южной и Восточной Азии</v>
      </c>
      <c r="EB4" s="124" t="str">
        <f t="shared" si="2"/>
        <v>В странах Африки </v>
      </c>
      <c r="EC4" s="124" t="str">
        <f t="shared" si="2"/>
        <v>В странах Южной и Центральной Америки</v>
      </c>
      <c r="ED4" s="124" t="str">
        <f t="shared" si="2"/>
        <v>В странах Ближнего Востока</v>
      </c>
      <c r="EE4" s="125" t="str">
        <f t="shared" si="2"/>
        <v>В Австралии</v>
      </c>
      <c r="EF4" s="115"/>
      <c r="EG4" s="120" t="e">
        <f>анкета!#REF!</f>
        <v>#REF!</v>
      </c>
      <c r="EH4" s="121" t="e">
        <f>анкета!#REF!</f>
        <v>#REF!</v>
      </c>
      <c r="EI4" s="121" t="e">
        <f>анкета!#REF!</f>
        <v>#REF!</v>
      </c>
      <c r="EJ4" s="121" t="e">
        <f>анкета!#REF!</f>
        <v>#REF!</v>
      </c>
      <c r="EK4" s="121" t="e">
        <f>анкета!#REF!</f>
        <v>#REF!</v>
      </c>
      <c r="EL4" s="121" t="e">
        <f>анкета!#REF!</f>
        <v>#REF!</v>
      </c>
      <c r="EM4" s="121" t="e">
        <f>анкета!#REF!</f>
        <v>#REF!</v>
      </c>
      <c r="EN4" s="121" t="e">
        <f>анкета!#REF!</f>
        <v>#REF!</v>
      </c>
      <c r="EO4" s="121" t="e">
        <f>анкета!#REF!</f>
        <v>#REF!</v>
      </c>
      <c r="EP4" s="121" t="e">
        <f>анкета!#REF!</f>
        <v>#REF!</v>
      </c>
      <c r="EQ4" s="121" t="e">
        <f>анкета!#REF!</f>
        <v>#REF!</v>
      </c>
      <c r="ER4" s="121" t="e">
        <f>анкета!#REF!</f>
        <v>#REF!</v>
      </c>
      <c r="ES4" s="121" t="e">
        <f>анкета!#REF!</f>
        <v>#REF!</v>
      </c>
      <c r="ET4" s="121" t="e">
        <f>анкета!#REF!</f>
        <v>#REF!</v>
      </c>
      <c r="EU4" s="121" t="e">
        <f>анкета!#REF!</f>
        <v>#REF!</v>
      </c>
      <c r="EV4" s="121" t="e">
        <f>анкета!#REF!</f>
        <v>#REF!</v>
      </c>
      <c r="EW4" s="121" t="e">
        <f>анкета!#REF!</f>
        <v>#REF!</v>
      </c>
      <c r="EX4" s="121" t="e">
        <f>анкета!#REF!</f>
        <v>#REF!</v>
      </c>
      <c r="EY4" s="121" t="e">
        <f>анкета!#REF!</f>
        <v>#REF!</v>
      </c>
      <c r="EZ4" s="119" t="e">
        <f>анкета!#REF!</f>
        <v>#REF!</v>
      </c>
      <c r="FA4" s="112"/>
      <c r="FB4" s="218"/>
      <c r="FC4" s="126" t="str">
        <f>анкета!C79</f>
        <v xml:space="preserve">С </v>
      </c>
      <c r="FD4" s="127" t="str">
        <f>анкета!C80</f>
        <v xml:space="preserve">С++ </v>
      </c>
      <c r="FE4" s="127" t="str">
        <f>анкета!C81</f>
        <v xml:space="preserve">С# </v>
      </c>
      <c r="FF4" s="127" t="str">
        <f>анкета!C82</f>
        <v>Java</v>
      </c>
      <c r="FG4" s="127" t="str">
        <f>анкета!C83</f>
        <v xml:space="preserve">Delphi </v>
      </c>
      <c r="FH4" s="127" t="str">
        <f>анкета!C84</f>
        <v xml:space="preserve">.Net </v>
      </c>
      <c r="FI4" s="127" t="str">
        <f>анкета!C85</f>
        <v xml:space="preserve">PHP </v>
      </c>
      <c r="FJ4" s="128" t="str">
        <f>анкета!C87</f>
        <v>Другое (укажите)</v>
      </c>
      <c r="FK4" s="223"/>
      <c r="FL4" s="223"/>
      <c r="FM4" s="223"/>
      <c r="FN4" s="223"/>
      <c r="FO4" s="223"/>
      <c r="FP4" s="223"/>
      <c r="FQ4" s="126" t="str">
        <f>анкета!C96</f>
        <v xml:space="preserve">MS Windows </v>
      </c>
      <c r="FR4" s="127" t="str">
        <f>анкета!C97</f>
        <v xml:space="preserve">Mac OS </v>
      </c>
      <c r="FS4" s="127" t="str">
        <f>анкета!C98</f>
        <v>GNU Linux Family</v>
      </c>
      <c r="FT4" s="127" t="str">
        <f>анкета!C99</f>
        <v>Open/Free/NetBSD</v>
      </c>
      <c r="FU4" s="127" t="str">
        <f>анкета!C100</f>
        <v>Oracle Solaris</v>
      </c>
      <c r="FV4" s="127" t="str">
        <f>анкета!C101</f>
        <v>iOS</v>
      </c>
      <c r="FW4" s="127" t="str">
        <f>анкета!C102</f>
        <v xml:space="preserve">Android </v>
      </c>
      <c r="FX4" s="127" t="str">
        <f>анкета!C103</f>
        <v>MS Windows Mobile</v>
      </c>
      <c r="FY4" s="127" t="str">
        <f>анкета!C104</f>
        <v>MS Windows Phone</v>
      </c>
      <c r="FZ4" s="127" t="str">
        <f>анкета!C105</f>
        <v>Tizen</v>
      </c>
      <c r="GA4" s="119" t="str">
        <f>анкета!C106</f>
        <v>Другое (укажите)</v>
      </c>
      <c r="GB4" s="126" t="str">
        <f>анкета!C107</f>
        <v xml:space="preserve">MS SQL </v>
      </c>
      <c r="GC4" s="127" t="str">
        <f>анкета!C108</f>
        <v>Oracle</v>
      </c>
      <c r="GD4" s="127" t="str">
        <f>анкета!C109</f>
        <v xml:space="preserve">MySQL </v>
      </c>
      <c r="GE4" s="127" t="str">
        <f>анкета!C110</f>
        <v>MS Access</v>
      </c>
      <c r="GF4" s="127" t="str">
        <f>анкета!C111</f>
        <v xml:space="preserve">Firebird </v>
      </c>
      <c r="GG4" s="127" t="str">
        <f>анкета!C112</f>
        <v xml:space="preserve">PostgreSQL </v>
      </c>
      <c r="GH4" s="127" t="str">
        <f>анкета!C113</f>
        <v xml:space="preserve">MSDE </v>
      </c>
      <c r="GI4" s="127" t="str">
        <f>анкета!C114</f>
        <v xml:space="preserve">IBM DB2 </v>
      </c>
      <c r="GJ4" s="127" t="str">
        <f>анкета!C116</f>
        <v xml:space="preserve">InterBase </v>
      </c>
      <c r="GK4" s="127" t="str">
        <f>анкета!C117</f>
        <v xml:space="preserve">Sybase ASA </v>
      </c>
      <c r="GL4" s="127" t="str">
        <f>анкета!C118</f>
        <v>SQLite</v>
      </c>
      <c r="GM4" s="127" t="str">
        <f>анкета!C119</f>
        <v xml:space="preserve">IBM Informix </v>
      </c>
      <c r="GN4" s="127" t="str">
        <f>анкета!C120</f>
        <v xml:space="preserve">SAP DB </v>
      </c>
      <c r="GO4" s="127" t="str">
        <f>анкета!C121</f>
        <v>Sybase</v>
      </c>
      <c r="GP4" s="127" t="str">
        <f>анкета!C122</f>
        <v xml:space="preserve">Paradox </v>
      </c>
      <c r="GQ4" s="119" t="str">
        <f>анкета!C123</f>
        <v>Другое (укажите)</v>
      </c>
      <c r="GR4" s="112"/>
      <c r="GS4" s="126" t="str">
        <f>анкета!C125</f>
        <v>Телекоммуникационные услуги</v>
      </c>
      <c r="GT4" s="127" t="str">
        <f>анкета!C126</f>
        <v>Маркетинг</v>
      </c>
      <c r="GU4" s="127" t="str">
        <f>анкета!C127</f>
        <v>Аренда офисной площади</v>
      </c>
      <c r="GV4" s="128" t="str">
        <f>анкета!C128</f>
        <v>НИР</v>
      </c>
      <c r="GW4" s="218"/>
      <c r="GX4" s="218"/>
      <c r="GY4" s="112"/>
      <c r="GZ4" s="218"/>
      <c r="HA4" s="126" t="s">
        <v>393</v>
      </c>
      <c r="HB4" s="128" t="s">
        <v>176</v>
      </c>
      <c r="HC4" s="218"/>
      <c r="HD4" s="218"/>
      <c r="HE4" s="126" t="s">
        <v>393</v>
      </c>
      <c r="HF4" s="128" t="s">
        <v>176</v>
      </c>
    </row>
    <row r="5" spans="1:256" s="131" customFormat="1" ht="8.25" customHeight="1" x14ac:dyDescent="0.25">
      <c r="A5" s="129"/>
      <c r="B5" s="130"/>
      <c r="C5" s="130"/>
      <c r="D5" s="130"/>
      <c r="E5" s="130"/>
      <c r="F5" s="130"/>
      <c r="G5" s="130"/>
      <c r="H5" s="130"/>
      <c r="I5" s="130"/>
      <c r="J5" s="130"/>
      <c r="W5" s="132"/>
      <c r="CR5" s="132"/>
      <c r="EF5" s="132"/>
      <c r="FA5" s="112"/>
      <c r="FC5" s="132"/>
      <c r="FD5" s="132"/>
      <c r="FE5" s="132"/>
      <c r="FF5" s="132"/>
      <c r="FG5" s="132"/>
      <c r="FH5" s="132"/>
      <c r="FI5" s="132"/>
      <c r="FJ5" s="132"/>
      <c r="FK5" s="132"/>
      <c r="FL5" s="132"/>
      <c r="FM5" s="132"/>
      <c r="FN5" s="132"/>
      <c r="FO5" s="132"/>
      <c r="FP5" s="132"/>
      <c r="FQ5" s="132"/>
      <c r="FR5" s="132"/>
      <c r="FS5" s="132"/>
      <c r="FT5" s="132"/>
      <c r="FU5" s="132"/>
      <c r="FV5" s="132"/>
      <c r="FW5" s="132"/>
      <c r="FX5" s="132"/>
      <c r="FY5" s="132"/>
      <c r="FZ5" s="132"/>
      <c r="GA5" s="132"/>
      <c r="GB5" s="132"/>
      <c r="GC5" s="132"/>
      <c r="GD5" s="132"/>
      <c r="GE5" s="132"/>
      <c r="GF5" s="132"/>
      <c r="GG5" s="132"/>
      <c r="GH5" s="132"/>
      <c r="GI5" s="132"/>
      <c r="GJ5" s="132"/>
      <c r="GK5" s="132"/>
      <c r="GL5" s="132"/>
      <c r="GM5" s="132"/>
      <c r="GN5" s="132"/>
      <c r="GO5" s="132"/>
      <c r="GP5" s="132"/>
      <c r="GQ5" s="132"/>
      <c r="GR5" s="112"/>
      <c r="GS5" s="132"/>
      <c r="GT5" s="132"/>
      <c r="GU5" s="132"/>
      <c r="GV5" s="132"/>
      <c r="GW5" s="132"/>
      <c r="GX5" s="132"/>
      <c r="GY5" s="112"/>
      <c r="GZ5" s="132"/>
      <c r="HA5" s="133"/>
      <c r="HB5" s="133"/>
      <c r="HC5" s="132"/>
      <c r="HD5" s="132"/>
      <c r="HE5" s="133"/>
      <c r="HF5" s="133"/>
      <c r="HG5" s="132"/>
      <c r="HH5" s="132"/>
      <c r="HI5" s="132"/>
      <c r="HJ5" s="132"/>
      <c r="HK5" s="132"/>
      <c r="HL5" s="132"/>
      <c r="HM5" s="132"/>
      <c r="HN5" s="132"/>
      <c r="HO5" s="132"/>
      <c r="HP5" s="132"/>
      <c r="HQ5" s="132"/>
      <c r="HR5" s="132"/>
      <c r="HS5" s="132"/>
      <c r="HT5" s="132"/>
      <c r="HU5" s="132"/>
      <c r="HV5" s="132"/>
      <c r="HW5" s="132"/>
      <c r="HX5" s="132"/>
      <c r="HY5" s="132"/>
      <c r="HZ5" s="132"/>
      <c r="IA5" s="132"/>
      <c r="IB5" s="132"/>
      <c r="IC5" s="132"/>
      <c r="ID5" s="132"/>
      <c r="IE5" s="132"/>
      <c r="IF5" s="132"/>
      <c r="IG5" s="132"/>
      <c r="IH5" s="132"/>
      <c r="II5" s="132"/>
      <c r="IJ5" s="132"/>
      <c r="IK5" s="132"/>
      <c r="IL5" s="132"/>
      <c r="IM5" s="132"/>
      <c r="IN5" s="132"/>
      <c r="IO5" s="132"/>
      <c r="IP5" s="132"/>
      <c r="IQ5" s="132"/>
      <c r="IR5" s="132"/>
      <c r="IS5" s="132"/>
      <c r="IT5" s="132"/>
      <c r="IU5" s="132"/>
      <c r="IV5" s="132"/>
    </row>
    <row r="6" spans="1:256" s="142" customFormat="1" ht="60" x14ac:dyDescent="0.25">
      <c r="A6" s="134"/>
      <c r="B6" s="135">
        <f>анкета!C2</f>
        <v>0</v>
      </c>
      <c r="C6" s="135">
        <f>анкета!C3</f>
        <v>0</v>
      </c>
      <c r="D6" s="135">
        <f>анкета!C4</f>
        <v>0</v>
      </c>
      <c r="E6" s="135">
        <f>анкета!C5</f>
        <v>0</v>
      </c>
      <c r="F6" s="135">
        <f>анкета!C6</f>
        <v>0</v>
      </c>
      <c r="G6" s="135">
        <f>анкета!C7</f>
        <v>0</v>
      </c>
      <c r="H6" s="135">
        <f>анкета!C8</f>
        <v>0</v>
      </c>
      <c r="I6" s="135">
        <f>анкета!C10</f>
        <v>0</v>
      </c>
      <c r="J6" s="136" t="e">
        <f>анкета!#REF!</f>
        <v>#REF!</v>
      </c>
      <c r="K6" s="134" t="str">
        <f>анкета!E12</f>
        <v>-- выберите --</v>
      </c>
      <c r="L6" s="135" t="str">
        <f>анкета!E13</f>
        <v>-- выберите --</v>
      </c>
      <c r="M6" s="135" t="str">
        <f>анкета!E14</f>
        <v>-- выберите --</v>
      </c>
      <c r="N6" s="135" t="str">
        <f>анкета!E15</f>
        <v>-- выберите --</v>
      </c>
      <c r="O6" s="135" t="str">
        <f>анкета!E16</f>
        <v>-- выберите --</v>
      </c>
      <c r="P6" s="135" t="str">
        <f>анкета!E17</f>
        <v>-- выберите --</v>
      </c>
      <c r="Q6" s="135" t="e">
        <f>анкета!#REF!</f>
        <v>#REF!</v>
      </c>
      <c r="R6" s="135" t="str">
        <f>анкета!E18</f>
        <v>-- выберите --</v>
      </c>
      <c r="S6" s="135" t="str">
        <f>анкета!E19</f>
        <v>-- выберите --</v>
      </c>
      <c r="T6" s="135" t="str">
        <f>анкета!E20</f>
        <v>-- выберите --</v>
      </c>
      <c r="U6" s="135" t="str">
        <f>анкета!E21</f>
        <v>-- выберите --</v>
      </c>
      <c r="V6" s="136" t="str">
        <f>IF(анкета!B22=V4," - ",анкета!B22)</f>
        <v xml:space="preserve"> - </v>
      </c>
      <c r="W6" s="137"/>
      <c r="X6" s="134">
        <f>анкета!C28</f>
        <v>0</v>
      </c>
      <c r="Y6" s="135">
        <f>анкета!C29</f>
        <v>0</v>
      </c>
      <c r="Z6" s="135">
        <f>анкета!C30</f>
        <v>0</v>
      </c>
      <c r="AA6" s="135">
        <f>анкета!C31</f>
        <v>0</v>
      </c>
      <c r="AB6" s="135">
        <f>анкета!C32</f>
        <v>0</v>
      </c>
      <c r="AC6" s="135">
        <f>анкета!C35</f>
        <v>0</v>
      </c>
      <c r="AD6" s="135">
        <f>анкета!C36</f>
        <v>0</v>
      </c>
      <c r="AE6" s="135">
        <f>анкета!C37</f>
        <v>0</v>
      </c>
      <c r="AF6" s="135">
        <f>анкета!C38</f>
        <v>0</v>
      </c>
      <c r="AG6" s="135">
        <f>анкета!C39</f>
        <v>0</v>
      </c>
      <c r="AH6" s="135">
        <f>анкета!C40</f>
        <v>0</v>
      </c>
      <c r="AI6" s="136">
        <f>анкета!C42</f>
        <v>0</v>
      </c>
      <c r="AJ6" s="134">
        <f>анкета!D28</f>
        <v>0</v>
      </c>
      <c r="AK6" s="135">
        <f>анкета!D29</f>
        <v>0</v>
      </c>
      <c r="AL6" s="135">
        <f>анкета!D30</f>
        <v>0</v>
      </c>
      <c r="AM6" s="135">
        <f>анкета!D31</f>
        <v>0</v>
      </c>
      <c r="AN6" s="135">
        <f>анкета!D32</f>
        <v>0</v>
      </c>
      <c r="AO6" s="135">
        <f>анкета!D35</f>
        <v>0</v>
      </c>
      <c r="AP6" s="135">
        <f>анкета!D36</f>
        <v>0</v>
      </c>
      <c r="AQ6" s="135">
        <f>анкета!D37</f>
        <v>0</v>
      </c>
      <c r="AR6" s="135">
        <f>анкета!D38</f>
        <v>0</v>
      </c>
      <c r="AS6" s="135">
        <f>анкета!D39</f>
        <v>0</v>
      </c>
      <c r="AT6" s="135">
        <f>анкета!D40</f>
        <v>0</v>
      </c>
      <c r="AU6" s="136">
        <f>анкета!D42</f>
        <v>0</v>
      </c>
      <c r="AV6" s="134">
        <f>анкета!E28</f>
        <v>0</v>
      </c>
      <c r="AW6" s="135">
        <f>анкета!E29</f>
        <v>0</v>
      </c>
      <c r="AX6" s="135">
        <f>анкета!E30</f>
        <v>0</v>
      </c>
      <c r="AY6" s="135">
        <f>анкета!E31</f>
        <v>0</v>
      </c>
      <c r="AZ6" s="135">
        <f>анкета!E32</f>
        <v>0</v>
      </c>
      <c r="BA6" s="135">
        <f>анкета!E35</f>
        <v>0</v>
      </c>
      <c r="BB6" s="135">
        <f>анкета!E36</f>
        <v>0</v>
      </c>
      <c r="BC6" s="135">
        <f>анкета!E37</f>
        <v>0</v>
      </c>
      <c r="BD6" s="135">
        <f>анкета!E38</f>
        <v>0</v>
      </c>
      <c r="BE6" s="135">
        <f>анкета!E39</f>
        <v>0</v>
      </c>
      <c r="BF6" s="135">
        <f>анкета!E40</f>
        <v>0</v>
      </c>
      <c r="BG6" s="136">
        <f>анкета!E42</f>
        <v>0</v>
      </c>
      <c r="BH6" s="134">
        <f>анкета!C46</f>
        <v>0</v>
      </c>
      <c r="BI6" s="135">
        <f>анкета!C47</f>
        <v>0</v>
      </c>
      <c r="BJ6" s="135">
        <f>анкета!C48</f>
        <v>0</v>
      </c>
      <c r="BK6" s="135">
        <f>анкета!C49</f>
        <v>0</v>
      </c>
      <c r="BL6" s="135">
        <f>анкета!C50</f>
        <v>0</v>
      </c>
      <c r="BM6" s="135">
        <f>анкета!C53</f>
        <v>0</v>
      </c>
      <c r="BN6" s="135">
        <f>анкета!C54</f>
        <v>0</v>
      </c>
      <c r="BO6" s="135">
        <f>анкета!C55</f>
        <v>0</v>
      </c>
      <c r="BP6" s="135">
        <f>анкета!C56</f>
        <v>0</v>
      </c>
      <c r="BQ6" s="135">
        <f>анкета!C57</f>
        <v>0</v>
      </c>
      <c r="BR6" s="135">
        <f>анкета!C58</f>
        <v>0</v>
      </c>
      <c r="BS6" s="136">
        <f>анкета!C60</f>
        <v>0</v>
      </c>
      <c r="BT6" s="134">
        <f>анкета!D46</f>
        <v>0</v>
      </c>
      <c r="BU6" s="135">
        <f>анкета!D47</f>
        <v>0</v>
      </c>
      <c r="BV6" s="135">
        <f>анкета!D48</f>
        <v>0</v>
      </c>
      <c r="BW6" s="135">
        <f>анкета!D49</f>
        <v>0</v>
      </c>
      <c r="BX6" s="135">
        <f>анкета!D50</f>
        <v>0</v>
      </c>
      <c r="BY6" s="135">
        <f>анкета!D53</f>
        <v>0</v>
      </c>
      <c r="BZ6" s="135">
        <f>анкета!D54</f>
        <v>0</v>
      </c>
      <c r="CA6" s="135">
        <f>анкета!D55</f>
        <v>0</v>
      </c>
      <c r="CB6" s="135">
        <f>анкета!D56</f>
        <v>0</v>
      </c>
      <c r="CC6" s="135">
        <f>анкета!D57</f>
        <v>0</v>
      </c>
      <c r="CD6" s="135">
        <f>анкета!D58</f>
        <v>0</v>
      </c>
      <c r="CE6" s="136">
        <f>анкета!D60</f>
        <v>0</v>
      </c>
      <c r="CF6" s="134">
        <f>анкета!E46</f>
        <v>0</v>
      </c>
      <c r="CG6" s="135">
        <f>анкета!E47</f>
        <v>0</v>
      </c>
      <c r="CH6" s="135">
        <f>анкета!E48</f>
        <v>0</v>
      </c>
      <c r="CI6" s="135">
        <f>анкета!E49</f>
        <v>0</v>
      </c>
      <c r="CJ6" s="135">
        <f>анкета!E50</f>
        <v>0</v>
      </c>
      <c r="CK6" s="135">
        <f>анкета!E53</f>
        <v>0</v>
      </c>
      <c r="CL6" s="135">
        <f>анкета!E54</f>
        <v>0</v>
      </c>
      <c r="CM6" s="135">
        <f>анкета!E55</f>
        <v>0</v>
      </c>
      <c r="CN6" s="135">
        <f>анкета!E56</f>
        <v>0</v>
      </c>
      <c r="CO6" s="135">
        <f>анкета!E57</f>
        <v>0</v>
      </c>
      <c r="CP6" s="135">
        <f>анкета!E58</f>
        <v>0</v>
      </c>
      <c r="CQ6" s="136">
        <f>анкета!E60</f>
        <v>0</v>
      </c>
      <c r="CR6" s="137"/>
      <c r="CS6" s="134" t="str">
        <f>анкета!C63</f>
        <v>-- выберите --</v>
      </c>
      <c r="CT6" s="135" t="str">
        <f>анкета!C64</f>
        <v>-- выберите --</v>
      </c>
      <c r="CU6" s="135" t="str">
        <f>анкета!C65</f>
        <v>-- выберите --</v>
      </c>
      <c r="CV6" s="135" t="str">
        <f>анкета!C66</f>
        <v>-- выберите --</v>
      </c>
      <c r="CW6" s="135" t="str">
        <f>анкета!C67</f>
        <v>-- выберите --</v>
      </c>
      <c r="CX6" s="135" t="str">
        <f>анкета!C68</f>
        <v>-- выберите --</v>
      </c>
      <c r="CY6" s="135" t="str">
        <f>анкета!C69</f>
        <v>-- выберите --</v>
      </c>
      <c r="CZ6" s="135" t="str">
        <f>анкета!C71</f>
        <v>-- выберите --</v>
      </c>
      <c r="DA6" s="135" t="str">
        <f>анкета!C72</f>
        <v>-- выберите --</v>
      </c>
      <c r="DB6" s="135" t="str">
        <f>анкета!C73</f>
        <v>-- выберите --</v>
      </c>
      <c r="DC6" s="135" t="str">
        <f>анкета!C74</f>
        <v>-- выберите --</v>
      </c>
      <c r="DD6" s="135" t="str">
        <f>анкета!C75</f>
        <v>-- выберите --</v>
      </c>
      <c r="DE6" s="136" t="str">
        <f>анкета!C76</f>
        <v>-- выберите --</v>
      </c>
      <c r="DF6" s="134" t="str">
        <f>анкета!D63</f>
        <v>-- выберите --</v>
      </c>
      <c r="DG6" s="135" t="str">
        <f>анкета!D64</f>
        <v>-- выберите --</v>
      </c>
      <c r="DH6" s="135" t="str">
        <f>анкета!D65</f>
        <v>-- выберите --</v>
      </c>
      <c r="DI6" s="135" t="str">
        <f>анкета!D66</f>
        <v>-- выберите --</v>
      </c>
      <c r="DJ6" s="135" t="str">
        <f>анкета!D67</f>
        <v>-- выберите --</v>
      </c>
      <c r="DK6" s="135" t="str">
        <f>анкета!D68</f>
        <v>-- выберите --</v>
      </c>
      <c r="DL6" s="135" t="str">
        <f>анкета!D69</f>
        <v>-- выберите --</v>
      </c>
      <c r="DM6" s="135" t="str">
        <f>анкета!D71</f>
        <v>-- выберите --</v>
      </c>
      <c r="DN6" s="135" t="str">
        <f>анкета!D72</f>
        <v>-- выберите --</v>
      </c>
      <c r="DO6" s="135" t="str">
        <f>анкета!D73</f>
        <v>-- выберите --</v>
      </c>
      <c r="DP6" s="135" t="str">
        <f>анкета!D74</f>
        <v>-- выберите --</v>
      </c>
      <c r="DQ6" s="135" t="str">
        <f>анкета!D75</f>
        <v>-- выберите --</v>
      </c>
      <c r="DR6" s="135" t="str">
        <f>анкета!D76</f>
        <v>-- выберите --</v>
      </c>
      <c r="DS6" s="134" t="str">
        <f>анкета!E63</f>
        <v>-- выберите --</v>
      </c>
      <c r="DT6" s="135" t="str">
        <f>анкета!E64</f>
        <v>-- выберите --</v>
      </c>
      <c r="DU6" s="135" t="str">
        <f>анкета!E65</f>
        <v>-- выберите --</v>
      </c>
      <c r="DV6" s="135" t="str">
        <f>анкета!E66</f>
        <v>-- выберите --</v>
      </c>
      <c r="DW6" s="135" t="str">
        <f>анкета!E67</f>
        <v>-- выберите --</v>
      </c>
      <c r="DX6" s="135" t="str">
        <f>анкета!E68</f>
        <v>-- выберите --</v>
      </c>
      <c r="DY6" s="135" t="str">
        <f>анкета!E69</f>
        <v>-- выберите --</v>
      </c>
      <c r="DZ6" s="135" t="str">
        <f>анкета!E71</f>
        <v>-- выберите --</v>
      </c>
      <c r="EA6" s="135" t="str">
        <f>анкета!E72</f>
        <v>-- выберите --</v>
      </c>
      <c r="EB6" s="135" t="str">
        <f>анкета!E73</f>
        <v>-- выберите --</v>
      </c>
      <c r="EC6" s="135" t="str">
        <f>анкета!E74</f>
        <v>-- выберите --</v>
      </c>
      <c r="ED6" s="135" t="str">
        <f>анкета!E75</f>
        <v>-- выберите --</v>
      </c>
      <c r="EE6" s="135" t="str">
        <f>анкета!E76</f>
        <v>-- выберите --</v>
      </c>
      <c r="EF6" s="137"/>
      <c r="EG6" s="134" t="e">
        <f>анкета!#REF!</f>
        <v>#REF!</v>
      </c>
      <c r="EH6" s="135" t="e">
        <f>анкета!#REF!</f>
        <v>#REF!</v>
      </c>
      <c r="EI6" s="135" t="e">
        <f>анкета!#REF!</f>
        <v>#REF!</v>
      </c>
      <c r="EJ6" s="135" t="e">
        <f>анкета!#REF!</f>
        <v>#REF!</v>
      </c>
      <c r="EK6" s="135" t="e">
        <f>анкета!#REF!</f>
        <v>#REF!</v>
      </c>
      <c r="EL6" s="135" t="e">
        <f>анкета!#REF!</f>
        <v>#REF!</v>
      </c>
      <c r="EM6" s="135" t="e">
        <f>анкета!#REF!</f>
        <v>#REF!</v>
      </c>
      <c r="EN6" s="135" t="e">
        <f>анкета!#REF!</f>
        <v>#REF!</v>
      </c>
      <c r="EO6" s="135" t="e">
        <f>анкета!#REF!</f>
        <v>#REF!</v>
      </c>
      <c r="EP6" s="135" t="e">
        <f>анкета!#REF!</f>
        <v>#REF!</v>
      </c>
      <c r="EQ6" s="135" t="e">
        <f>анкета!#REF!</f>
        <v>#REF!</v>
      </c>
      <c r="ER6" s="135" t="e">
        <f>анкета!#REF!</f>
        <v>#REF!</v>
      </c>
      <c r="ES6" s="135" t="e">
        <f>анкета!#REF!</f>
        <v>#REF!</v>
      </c>
      <c r="ET6" s="135" t="e">
        <f>анкета!#REF!</f>
        <v>#REF!</v>
      </c>
      <c r="EU6" s="135" t="e">
        <f>анкета!#REF!</f>
        <v>#REF!</v>
      </c>
      <c r="EV6" s="135" t="e">
        <f>анкета!#REF!</f>
        <v>#REF!</v>
      </c>
      <c r="EW6" s="135" t="e">
        <f>анкета!#REF!</f>
        <v>#REF!</v>
      </c>
      <c r="EX6" s="135" t="e">
        <f>анкета!#REF!</f>
        <v>#REF!</v>
      </c>
      <c r="EY6" s="135" t="e">
        <f>анкета!#REF!</f>
        <v>#REF!</v>
      </c>
      <c r="EZ6" s="136" t="e">
        <f>IF(EZ4=анкета!#REF!,"-",анкета!#REF!)</f>
        <v>#REF!</v>
      </c>
      <c r="FA6" s="112"/>
      <c r="FB6" s="114" t="e">
        <f>NA()</f>
        <v>#N/A</v>
      </c>
      <c r="FC6" s="138" t="str">
        <f>анкета!E79</f>
        <v>-- выберите --</v>
      </c>
      <c r="FD6" s="139" t="str">
        <f>анкета!E80</f>
        <v>-- выберите --</v>
      </c>
      <c r="FE6" s="139" t="str">
        <f>анкета!E81</f>
        <v>-- выберите --</v>
      </c>
      <c r="FF6" s="139" t="str">
        <f>анкета!E82</f>
        <v>-- выберите --</v>
      </c>
      <c r="FG6" s="139" t="str">
        <f>анкета!E83</f>
        <v>-- выберите --</v>
      </c>
      <c r="FH6" s="139" t="str">
        <f>анкета!E84</f>
        <v>-- выберите --</v>
      </c>
      <c r="FI6" s="139" t="str">
        <f>анкета!E87</f>
        <v>-- выберите --</v>
      </c>
      <c r="FJ6" s="140"/>
      <c r="FK6" s="138">
        <f>анкета!A89</f>
        <v>0</v>
      </c>
      <c r="FL6" s="139">
        <f>анкета!A90</f>
        <v>0</v>
      </c>
      <c r="FM6" s="139">
        <f>анкета!A92</f>
        <v>0</v>
      </c>
      <c r="FN6" s="139">
        <f>анкета!A93</f>
        <v>0</v>
      </c>
      <c r="FO6" s="139">
        <f>анкета!A94</f>
        <v>0</v>
      </c>
      <c r="FP6" s="140">
        <f>анкета!A95</f>
        <v>0</v>
      </c>
      <c r="FQ6" s="138" t="str">
        <f>анкета!E96</f>
        <v>-- выберите --</v>
      </c>
      <c r="FR6" s="139" t="str">
        <f>анкета!E97</f>
        <v>-- выберите --</v>
      </c>
      <c r="FS6" s="139" t="str">
        <f>анкета!E98</f>
        <v>-- выберите --</v>
      </c>
      <c r="FT6" s="139" t="str">
        <f>анкета!E99</f>
        <v>-- выберите --</v>
      </c>
      <c r="FU6" s="139" t="str">
        <f>анкета!E100</f>
        <v>-- выберите --</v>
      </c>
      <c r="FV6" s="139" t="str">
        <f>анкета!E101</f>
        <v>-- выберите --</v>
      </c>
      <c r="FW6" s="139" t="str">
        <f>анкета!E102</f>
        <v>-- выберите --</v>
      </c>
      <c r="FX6" s="139" t="str">
        <f>анкета!E103</f>
        <v>-- выберите --</v>
      </c>
      <c r="FY6" s="139" t="str">
        <f>анкета!E104</f>
        <v>-- выберите --</v>
      </c>
      <c r="FZ6" s="139" t="str">
        <f>анкета!E105</f>
        <v>-- выберите --</v>
      </c>
      <c r="GA6" s="140" t="str">
        <f>IF(GA4=анкета!C106,"-",анкета!C106)</f>
        <v>-</v>
      </c>
      <c r="GB6" s="138" t="str">
        <f>анкета!E107</f>
        <v>-- выберите --</v>
      </c>
      <c r="GC6" s="139" t="str">
        <f>анкета!E108</f>
        <v>-- выберите --</v>
      </c>
      <c r="GD6" s="139" t="str">
        <f>анкета!E109</f>
        <v>-- выберите --</v>
      </c>
      <c r="GE6" s="139" t="str">
        <f>анкета!E110</f>
        <v>-- выберите --</v>
      </c>
      <c r="GF6" s="139" t="str">
        <f>анкета!E111</f>
        <v>-- выберите --</v>
      </c>
      <c r="GG6" s="139" t="str">
        <f>анкета!E112</f>
        <v>-- выберите --</v>
      </c>
      <c r="GH6" s="139" t="str">
        <f>анкета!E113</f>
        <v>-- выберите --</v>
      </c>
      <c r="GI6" s="139" t="str">
        <f>анкета!E114</f>
        <v>-- выберите --</v>
      </c>
      <c r="GJ6" s="139" t="str">
        <f>анкета!E116</f>
        <v>-- выберите --</v>
      </c>
      <c r="GK6" s="139" t="str">
        <f>анкета!E117</f>
        <v>-- выберите --</v>
      </c>
      <c r="GL6" s="139" t="str">
        <f>анкета!E118</f>
        <v>-- выберите --</v>
      </c>
      <c r="GM6" s="139" t="str">
        <f>анкета!E119</f>
        <v>-- выберите --</v>
      </c>
      <c r="GN6" s="139" t="str">
        <f>анкета!E120</f>
        <v>-- выберите --</v>
      </c>
      <c r="GO6" s="139" t="str">
        <f>анкета!E121</f>
        <v>-- выберите --</v>
      </c>
      <c r="GP6" s="139" t="str">
        <f>анкета!E122</f>
        <v>-- выберите --</v>
      </c>
      <c r="GQ6" s="140" t="str">
        <f>IF(GQ4=анкета!C123,"-",анкета!C123)</f>
        <v>-</v>
      </c>
      <c r="GR6" s="112"/>
      <c r="GS6" s="138"/>
      <c r="GT6" s="139"/>
      <c r="GU6" s="139"/>
      <c r="GV6" s="140"/>
      <c r="GW6" s="140"/>
      <c r="GX6" s="140"/>
      <c r="GY6" s="112"/>
      <c r="GZ6" s="141"/>
      <c r="HA6" s="138"/>
      <c r="HB6" s="140"/>
      <c r="HC6" s="114"/>
      <c r="HD6" s="114"/>
      <c r="HE6" s="138"/>
      <c r="HF6" s="140"/>
    </row>
    <row r="7" spans="1:256" s="144" customFormat="1" x14ac:dyDescent="0.25">
      <c r="A7" s="143"/>
      <c r="J7" s="145"/>
      <c r="K7" s="143"/>
      <c r="V7" s="145"/>
      <c r="W7" s="115"/>
      <c r="X7" s="143"/>
      <c r="AI7" s="145"/>
      <c r="AJ7" s="143"/>
      <c r="AU7" s="145"/>
      <c r="AV7" s="143"/>
      <c r="BG7" s="145"/>
      <c r="BH7" s="143"/>
      <c r="BS7" s="145"/>
      <c r="BT7" s="143"/>
      <c r="CE7" s="145"/>
      <c r="CF7" s="143"/>
      <c r="CQ7" s="145"/>
      <c r="CR7" s="115"/>
      <c r="CS7" s="143"/>
      <c r="DE7" s="145"/>
      <c r="DF7" s="143"/>
      <c r="DR7" s="145"/>
      <c r="DS7" s="143"/>
      <c r="EE7" s="145"/>
      <c r="EF7" s="115"/>
      <c r="EG7" s="143"/>
      <c r="EZ7" s="145"/>
      <c r="FA7" s="112"/>
      <c r="FB7" s="146"/>
      <c r="FC7" s="143"/>
      <c r="FJ7" s="145"/>
      <c r="FK7" s="143"/>
      <c r="FP7" s="145"/>
      <c r="FQ7" s="143"/>
      <c r="GA7" s="145"/>
      <c r="GB7" s="143"/>
      <c r="GQ7" s="145"/>
      <c r="GR7" s="112"/>
      <c r="GS7" s="143"/>
      <c r="GV7" s="145"/>
      <c r="GW7" s="145"/>
      <c r="GX7" s="145"/>
      <c r="GY7" s="112"/>
      <c r="GZ7" s="147"/>
      <c r="HA7" s="143"/>
      <c r="HB7" s="145"/>
      <c r="HC7" s="146"/>
      <c r="HD7" s="146"/>
      <c r="HE7" s="143"/>
      <c r="HF7" s="145"/>
      <c r="HG7" s="110"/>
      <c r="HH7" s="110"/>
      <c r="HI7" s="110"/>
      <c r="HJ7" s="110"/>
      <c r="HK7" s="110"/>
      <c r="HL7" s="110"/>
      <c r="HM7" s="110"/>
      <c r="HN7" s="110"/>
      <c r="HO7" s="110"/>
      <c r="HP7" s="110"/>
      <c r="HQ7" s="110"/>
      <c r="HR7" s="110"/>
      <c r="HS7" s="110"/>
      <c r="HT7" s="110"/>
      <c r="HU7" s="110"/>
      <c r="HV7" s="110"/>
      <c r="HW7" s="110"/>
      <c r="HX7" s="110"/>
      <c r="HY7" s="110"/>
      <c r="HZ7" s="110"/>
      <c r="IA7" s="110"/>
      <c r="IB7" s="110"/>
      <c r="IC7" s="110"/>
      <c r="ID7" s="110"/>
      <c r="IE7" s="110"/>
      <c r="IF7" s="110"/>
      <c r="IG7" s="110"/>
      <c r="IH7" s="110"/>
      <c r="II7" s="110"/>
      <c r="IJ7" s="110"/>
      <c r="IK7" s="110"/>
      <c r="IL7" s="110"/>
      <c r="IM7" s="110"/>
      <c r="IN7" s="110"/>
      <c r="IO7" s="110"/>
      <c r="IP7" s="110"/>
      <c r="IQ7" s="110"/>
      <c r="IR7" s="110"/>
      <c r="IS7" s="110"/>
      <c r="IT7" s="110"/>
      <c r="IU7" s="110"/>
      <c r="IV7" s="110"/>
    </row>
    <row r="8" spans="1:256" s="144" customFormat="1" x14ac:dyDescent="0.25">
      <c r="A8" s="143"/>
      <c r="J8" s="145"/>
      <c r="K8" s="143"/>
      <c r="V8" s="145"/>
      <c r="W8" s="115"/>
      <c r="X8" s="143"/>
      <c r="AI8" s="145"/>
      <c r="AJ8" s="143"/>
      <c r="AU8" s="145"/>
      <c r="AV8" s="143"/>
      <c r="BG8" s="145"/>
      <c r="BH8" s="143"/>
      <c r="BS8" s="145"/>
      <c r="BT8" s="143"/>
      <c r="CE8" s="145"/>
      <c r="CF8" s="143"/>
      <c r="CQ8" s="145"/>
      <c r="CR8" s="115"/>
      <c r="CS8" s="143"/>
      <c r="DE8" s="145"/>
      <c r="DF8" s="143"/>
      <c r="DR8" s="145"/>
      <c r="DS8" s="143"/>
      <c r="EE8" s="145"/>
      <c r="EF8" s="115"/>
      <c r="EG8" s="143"/>
      <c r="EZ8" s="145"/>
      <c r="FA8" s="112"/>
      <c r="FB8" s="146"/>
      <c r="FC8" s="143"/>
      <c r="FJ8" s="145"/>
      <c r="FK8" s="143"/>
      <c r="FP8" s="145"/>
      <c r="FQ8" s="143"/>
      <c r="GA8" s="145"/>
      <c r="GB8" s="143"/>
      <c r="GQ8" s="145"/>
      <c r="GR8" s="112"/>
      <c r="GS8" s="143"/>
      <c r="GV8" s="145"/>
      <c r="GW8" s="145"/>
      <c r="GX8" s="145"/>
      <c r="GY8" s="112"/>
      <c r="GZ8" s="147"/>
      <c r="HA8" s="143"/>
      <c r="HB8" s="145"/>
      <c r="HC8" s="146"/>
      <c r="HD8" s="146"/>
      <c r="HE8" s="143"/>
      <c r="HF8" s="145"/>
      <c r="HG8" s="110"/>
      <c r="HH8" s="110"/>
      <c r="HI8" s="110"/>
      <c r="HJ8" s="110"/>
      <c r="HK8" s="110"/>
      <c r="HL8" s="110"/>
      <c r="HM8" s="110"/>
      <c r="HN8" s="110"/>
      <c r="HO8" s="110"/>
      <c r="HP8" s="110"/>
      <c r="HQ8" s="110"/>
      <c r="HR8" s="110"/>
      <c r="HS8" s="110"/>
      <c r="HT8" s="110"/>
      <c r="HU8" s="110"/>
      <c r="HV8" s="110"/>
      <c r="HW8" s="110"/>
      <c r="HX8" s="110"/>
      <c r="HY8" s="110"/>
      <c r="HZ8" s="110"/>
      <c r="IA8" s="110"/>
      <c r="IB8" s="110"/>
      <c r="IC8" s="110"/>
      <c r="ID8" s="110"/>
      <c r="IE8" s="110"/>
      <c r="IF8" s="110"/>
      <c r="IG8" s="110"/>
      <c r="IH8" s="110"/>
      <c r="II8" s="110"/>
      <c r="IJ8" s="110"/>
      <c r="IK8" s="110"/>
      <c r="IL8" s="110"/>
      <c r="IM8" s="110"/>
      <c r="IN8" s="110"/>
      <c r="IO8" s="110"/>
      <c r="IP8" s="110"/>
      <c r="IQ8" s="110"/>
      <c r="IR8" s="110"/>
      <c r="IS8" s="110"/>
      <c r="IT8" s="110"/>
      <c r="IU8" s="110"/>
      <c r="IV8" s="110"/>
    </row>
    <row r="9" spans="1:256" s="144" customFormat="1" x14ac:dyDescent="0.25">
      <c r="A9" s="143"/>
      <c r="J9" s="145"/>
      <c r="K9" s="143"/>
      <c r="V9" s="145"/>
      <c r="W9" s="115"/>
      <c r="X9" s="143"/>
      <c r="AI9" s="145"/>
      <c r="AJ9" s="143"/>
      <c r="AU9" s="145"/>
      <c r="AV9" s="143"/>
      <c r="BG9" s="145"/>
      <c r="BH9" s="143"/>
      <c r="BS9" s="145"/>
      <c r="BT9" s="143"/>
      <c r="CE9" s="145"/>
      <c r="CF9" s="143"/>
      <c r="CQ9" s="145"/>
      <c r="CR9" s="115"/>
      <c r="CS9" s="143"/>
      <c r="DE9" s="145"/>
      <c r="DF9" s="143"/>
      <c r="DR9" s="145"/>
      <c r="DS9" s="143"/>
      <c r="EE9" s="145"/>
      <c r="EF9" s="115"/>
      <c r="EG9" s="143"/>
      <c r="EZ9" s="145"/>
      <c r="FA9" s="112"/>
      <c r="FB9" s="146"/>
      <c r="FC9" s="143"/>
      <c r="FJ9" s="145"/>
      <c r="FK9" s="143"/>
      <c r="FP9" s="145"/>
      <c r="FQ9" s="143"/>
      <c r="GA9" s="145"/>
      <c r="GB9" s="143"/>
      <c r="GQ9" s="145"/>
      <c r="GR9" s="112"/>
      <c r="GS9" s="143"/>
      <c r="GV9" s="145"/>
      <c r="GW9" s="145"/>
      <c r="GX9" s="145"/>
      <c r="GY9" s="112"/>
      <c r="GZ9" s="147"/>
      <c r="HA9" s="143"/>
      <c r="HB9" s="145"/>
      <c r="HC9" s="146"/>
      <c r="HD9" s="146"/>
      <c r="HE9" s="143"/>
      <c r="HF9" s="145"/>
      <c r="HG9" s="110"/>
      <c r="HH9" s="110"/>
      <c r="HI9" s="110"/>
      <c r="HJ9" s="110"/>
      <c r="HK9" s="110"/>
      <c r="HL9" s="110"/>
      <c r="HM9" s="110"/>
      <c r="HN9" s="110"/>
      <c r="HO9" s="110"/>
      <c r="HP9" s="110"/>
      <c r="HQ9" s="110"/>
      <c r="HR9" s="110"/>
      <c r="HS9" s="110"/>
      <c r="HT9" s="110"/>
      <c r="HU9" s="110"/>
      <c r="HV9" s="110"/>
      <c r="HW9" s="110"/>
      <c r="HX9" s="110"/>
      <c r="HY9" s="110"/>
      <c r="HZ9" s="110"/>
      <c r="IA9" s="110"/>
      <c r="IB9" s="110"/>
      <c r="IC9" s="110"/>
      <c r="ID9" s="110"/>
      <c r="IE9" s="110"/>
      <c r="IF9" s="110"/>
      <c r="IG9" s="110"/>
      <c r="IH9" s="110"/>
      <c r="II9" s="110"/>
      <c r="IJ9" s="110"/>
      <c r="IK9" s="110"/>
      <c r="IL9" s="110"/>
      <c r="IM9" s="110"/>
      <c r="IN9" s="110"/>
      <c r="IO9" s="110"/>
      <c r="IP9" s="110"/>
      <c r="IQ9" s="110"/>
      <c r="IR9" s="110"/>
      <c r="IS9" s="110"/>
      <c r="IT9" s="110"/>
      <c r="IU9" s="110"/>
      <c r="IV9" s="110"/>
    </row>
    <row r="10" spans="1:256" s="144" customFormat="1" x14ac:dyDescent="0.25">
      <c r="A10" s="143"/>
      <c r="J10" s="145"/>
      <c r="K10" s="143"/>
      <c r="V10" s="145"/>
      <c r="W10" s="115"/>
      <c r="X10" s="143"/>
      <c r="AI10" s="145"/>
      <c r="AJ10" s="143"/>
      <c r="AU10" s="145"/>
      <c r="AV10" s="143"/>
      <c r="BG10" s="145"/>
      <c r="BH10" s="143"/>
      <c r="BS10" s="145"/>
      <c r="BT10" s="143"/>
      <c r="CE10" s="145"/>
      <c r="CF10" s="143"/>
      <c r="CQ10" s="145"/>
      <c r="CR10" s="115"/>
      <c r="CS10" s="143"/>
      <c r="DE10" s="145"/>
      <c r="DF10" s="143"/>
      <c r="DR10" s="145"/>
      <c r="DS10" s="143"/>
      <c r="EE10" s="145"/>
      <c r="EF10" s="115"/>
      <c r="EG10" s="143"/>
      <c r="EZ10" s="145"/>
      <c r="FA10" s="112"/>
      <c r="FB10" s="146"/>
      <c r="FC10" s="143"/>
      <c r="FJ10" s="145"/>
      <c r="FK10" s="143"/>
      <c r="FP10" s="145"/>
      <c r="FQ10" s="143"/>
      <c r="GA10" s="145"/>
      <c r="GB10" s="143"/>
      <c r="GQ10" s="145"/>
      <c r="GR10" s="112"/>
      <c r="GS10" s="143"/>
      <c r="GV10" s="145"/>
      <c r="GW10" s="145"/>
      <c r="GX10" s="145"/>
      <c r="GY10" s="112"/>
      <c r="GZ10" s="147"/>
      <c r="HA10" s="143"/>
      <c r="HB10" s="145"/>
      <c r="HC10" s="146"/>
      <c r="HD10" s="146"/>
      <c r="HE10" s="143"/>
      <c r="HF10" s="145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  <c r="IS10" s="110"/>
      <c r="IT10" s="110"/>
      <c r="IU10" s="110"/>
      <c r="IV10" s="110"/>
    </row>
    <row r="11" spans="1:256" s="144" customFormat="1" x14ac:dyDescent="0.25">
      <c r="A11" s="143"/>
      <c r="J11" s="145"/>
      <c r="K11" s="143"/>
      <c r="V11" s="145"/>
      <c r="W11" s="115"/>
      <c r="X11" s="143"/>
      <c r="AI11" s="145"/>
      <c r="AJ11" s="143"/>
      <c r="AU11" s="145"/>
      <c r="AV11" s="143"/>
      <c r="BG11" s="145"/>
      <c r="BH11" s="143"/>
      <c r="BS11" s="145"/>
      <c r="BT11" s="143"/>
      <c r="CE11" s="145"/>
      <c r="CF11" s="143"/>
      <c r="CQ11" s="145"/>
      <c r="CR11" s="115"/>
      <c r="CS11" s="143"/>
      <c r="DE11" s="145"/>
      <c r="DF11" s="143"/>
      <c r="DR11" s="145"/>
      <c r="DS11" s="143"/>
      <c r="EE11" s="145"/>
      <c r="EF11" s="115"/>
      <c r="EG11" s="143"/>
      <c r="EZ11" s="145"/>
      <c r="FA11" s="112"/>
      <c r="FB11" s="146"/>
      <c r="FC11" s="143"/>
      <c r="FJ11" s="145"/>
      <c r="FK11" s="143"/>
      <c r="FP11" s="145"/>
      <c r="FQ11" s="143"/>
      <c r="GA11" s="145"/>
      <c r="GB11" s="143"/>
      <c r="GQ11" s="145"/>
      <c r="GR11" s="112"/>
      <c r="GS11" s="143"/>
      <c r="GV11" s="145"/>
      <c r="GW11" s="145"/>
      <c r="GX11" s="145"/>
      <c r="GY11" s="112"/>
      <c r="GZ11" s="147"/>
      <c r="HA11" s="143"/>
      <c r="HB11" s="145"/>
      <c r="HC11" s="146"/>
      <c r="HD11" s="146"/>
      <c r="HE11" s="143"/>
      <c r="HF11" s="145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  <c r="IF11" s="110"/>
      <c r="IG11" s="110"/>
      <c r="IH11" s="110"/>
      <c r="II11" s="110"/>
      <c r="IJ11" s="110"/>
      <c r="IK11" s="110"/>
      <c r="IL11" s="110"/>
      <c r="IM11" s="110"/>
      <c r="IN11" s="110"/>
      <c r="IO11" s="110"/>
      <c r="IP11" s="110"/>
      <c r="IQ11" s="110"/>
      <c r="IR11" s="110"/>
      <c r="IS11" s="110"/>
      <c r="IT11" s="110"/>
      <c r="IU11" s="110"/>
      <c r="IV11" s="110"/>
    </row>
    <row r="12" spans="1:256" s="144" customFormat="1" x14ac:dyDescent="0.25">
      <c r="A12" s="143"/>
      <c r="J12" s="145"/>
      <c r="K12" s="143"/>
      <c r="V12" s="145"/>
      <c r="W12" s="115"/>
      <c r="X12" s="143"/>
      <c r="AI12" s="145"/>
      <c r="AJ12" s="143"/>
      <c r="AU12" s="145"/>
      <c r="AV12" s="143"/>
      <c r="BG12" s="145"/>
      <c r="BH12" s="143"/>
      <c r="BS12" s="145"/>
      <c r="BT12" s="143"/>
      <c r="CE12" s="145"/>
      <c r="CF12" s="143"/>
      <c r="CQ12" s="145"/>
      <c r="CR12" s="115"/>
      <c r="CS12" s="143"/>
      <c r="DE12" s="145"/>
      <c r="DF12" s="143"/>
      <c r="DR12" s="145"/>
      <c r="DS12" s="143"/>
      <c r="EE12" s="145"/>
      <c r="EF12" s="115"/>
      <c r="EG12" s="143"/>
      <c r="EZ12" s="145"/>
      <c r="FA12" s="112"/>
      <c r="FB12" s="146"/>
      <c r="FC12" s="143"/>
      <c r="FJ12" s="145"/>
      <c r="FK12" s="143"/>
      <c r="FP12" s="145"/>
      <c r="FQ12" s="143"/>
      <c r="GA12" s="145"/>
      <c r="GB12" s="143"/>
      <c r="GQ12" s="145"/>
      <c r="GR12" s="112"/>
      <c r="GS12" s="143"/>
      <c r="GV12" s="145"/>
      <c r="GW12" s="145"/>
      <c r="GX12" s="145"/>
      <c r="GY12" s="112"/>
      <c r="GZ12" s="147"/>
      <c r="HA12" s="143"/>
      <c r="HB12" s="145"/>
      <c r="HC12" s="146"/>
      <c r="HD12" s="146"/>
      <c r="HE12" s="143"/>
      <c r="HF12" s="145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  <c r="HT12" s="110"/>
      <c r="HU12" s="110"/>
      <c r="HV12" s="110"/>
      <c r="HW12" s="110"/>
      <c r="HX12" s="110"/>
      <c r="HY12" s="110"/>
      <c r="HZ12" s="110"/>
      <c r="IA12" s="110"/>
      <c r="IB12" s="110"/>
      <c r="IC12" s="110"/>
      <c r="ID12" s="110"/>
      <c r="IE12" s="110"/>
      <c r="IF12" s="110"/>
      <c r="IG12" s="110"/>
      <c r="IH12" s="110"/>
      <c r="II12" s="110"/>
      <c r="IJ12" s="110"/>
      <c r="IK12" s="110"/>
      <c r="IL12" s="110"/>
      <c r="IM12" s="110"/>
      <c r="IN12" s="110"/>
      <c r="IO12" s="110"/>
      <c r="IP12" s="110"/>
      <c r="IQ12" s="110"/>
      <c r="IR12" s="110"/>
      <c r="IS12" s="110"/>
      <c r="IT12" s="110"/>
      <c r="IU12" s="110"/>
      <c r="IV12" s="110"/>
    </row>
    <row r="13" spans="1:256" s="144" customFormat="1" x14ac:dyDescent="0.25">
      <c r="A13" s="143"/>
      <c r="J13" s="145"/>
      <c r="K13" s="143"/>
      <c r="V13" s="145"/>
      <c r="W13" s="115"/>
      <c r="X13" s="143"/>
      <c r="AI13" s="145"/>
      <c r="AJ13" s="143"/>
      <c r="AU13" s="145"/>
      <c r="AV13" s="143"/>
      <c r="BG13" s="145"/>
      <c r="BH13" s="143"/>
      <c r="BS13" s="145"/>
      <c r="BT13" s="143"/>
      <c r="CE13" s="145"/>
      <c r="CF13" s="143"/>
      <c r="CQ13" s="145"/>
      <c r="CR13" s="115"/>
      <c r="CS13" s="143"/>
      <c r="DE13" s="145"/>
      <c r="DF13" s="143"/>
      <c r="DR13" s="145"/>
      <c r="DS13" s="143"/>
      <c r="EE13" s="145"/>
      <c r="EF13" s="115"/>
      <c r="EG13" s="143"/>
      <c r="EZ13" s="145"/>
      <c r="FA13" s="112"/>
      <c r="FB13" s="146"/>
      <c r="FC13" s="143"/>
      <c r="FJ13" s="145"/>
      <c r="FK13" s="143"/>
      <c r="FP13" s="145"/>
      <c r="FQ13" s="143"/>
      <c r="GA13" s="145"/>
      <c r="GB13" s="143"/>
      <c r="GQ13" s="145"/>
      <c r="GR13" s="112"/>
      <c r="GS13" s="143"/>
      <c r="GV13" s="145"/>
      <c r="GW13" s="145"/>
      <c r="GX13" s="145"/>
      <c r="GY13" s="112"/>
      <c r="GZ13" s="147"/>
      <c r="HA13" s="143"/>
      <c r="HB13" s="145"/>
      <c r="HC13" s="146"/>
      <c r="HD13" s="146"/>
      <c r="HE13" s="143"/>
      <c r="HF13" s="145"/>
      <c r="HG13" s="110"/>
      <c r="HH13" s="110"/>
      <c r="HI13" s="110"/>
      <c r="HJ13" s="110"/>
      <c r="HK13" s="110"/>
      <c r="HL13" s="110"/>
      <c r="HM13" s="110"/>
      <c r="HN13" s="110"/>
      <c r="HO13" s="110"/>
      <c r="HP13" s="110"/>
      <c r="HQ13" s="110"/>
      <c r="HR13" s="110"/>
      <c r="HS13" s="110"/>
      <c r="HT13" s="110"/>
      <c r="HU13" s="110"/>
      <c r="HV13" s="110"/>
      <c r="HW13" s="110"/>
      <c r="HX13" s="110"/>
      <c r="HY13" s="110"/>
      <c r="HZ13" s="110"/>
      <c r="IA13" s="110"/>
      <c r="IB13" s="110"/>
      <c r="IC13" s="110"/>
      <c r="ID13" s="110"/>
      <c r="IE13" s="110"/>
      <c r="IF13" s="110"/>
      <c r="IG13" s="110"/>
      <c r="IH13" s="110"/>
      <c r="II13" s="110"/>
      <c r="IJ13" s="110"/>
      <c r="IK13" s="110"/>
      <c r="IL13" s="110"/>
      <c r="IM13" s="110"/>
      <c r="IN13" s="110"/>
      <c r="IO13" s="110"/>
      <c r="IP13" s="110"/>
      <c r="IQ13" s="110"/>
      <c r="IR13" s="110"/>
      <c r="IS13" s="110"/>
      <c r="IT13" s="110"/>
      <c r="IU13" s="110"/>
      <c r="IV13" s="110"/>
    </row>
    <row r="14" spans="1:256" s="144" customFormat="1" x14ac:dyDescent="0.25">
      <c r="A14" s="143"/>
      <c r="J14" s="145"/>
      <c r="K14" s="143"/>
      <c r="V14" s="145"/>
      <c r="W14" s="115"/>
      <c r="X14" s="143"/>
      <c r="AI14" s="145"/>
      <c r="AJ14" s="143"/>
      <c r="AU14" s="145"/>
      <c r="AV14" s="143"/>
      <c r="BG14" s="145"/>
      <c r="BH14" s="143"/>
      <c r="BS14" s="145"/>
      <c r="BT14" s="143"/>
      <c r="CE14" s="145"/>
      <c r="CF14" s="143"/>
      <c r="CQ14" s="145"/>
      <c r="CR14" s="115"/>
      <c r="CS14" s="143"/>
      <c r="DE14" s="145"/>
      <c r="DF14" s="143"/>
      <c r="DR14" s="145"/>
      <c r="DS14" s="143"/>
      <c r="EE14" s="145"/>
      <c r="EF14" s="115"/>
      <c r="EG14" s="143"/>
      <c r="EZ14" s="145"/>
      <c r="FA14" s="112"/>
      <c r="FB14" s="146"/>
      <c r="FC14" s="143"/>
      <c r="FJ14" s="145"/>
      <c r="FK14" s="143"/>
      <c r="FP14" s="145"/>
      <c r="FQ14" s="143"/>
      <c r="GA14" s="145"/>
      <c r="GB14" s="143"/>
      <c r="GQ14" s="145"/>
      <c r="GR14" s="112"/>
      <c r="GS14" s="143"/>
      <c r="GV14" s="145"/>
      <c r="GW14" s="145"/>
      <c r="GX14" s="145"/>
      <c r="GY14" s="112"/>
      <c r="GZ14" s="147"/>
      <c r="HA14" s="143"/>
      <c r="HB14" s="145"/>
      <c r="HC14" s="146"/>
      <c r="HD14" s="146"/>
      <c r="HE14" s="143"/>
      <c r="HF14" s="145"/>
      <c r="HG14" s="110"/>
      <c r="HH14" s="110"/>
      <c r="HI14" s="110"/>
      <c r="HJ14" s="110"/>
      <c r="HK14" s="110"/>
      <c r="HL14" s="110"/>
      <c r="HM14" s="110"/>
      <c r="HN14" s="110"/>
      <c r="HO14" s="110"/>
      <c r="HP14" s="110"/>
      <c r="HQ14" s="110"/>
      <c r="HR14" s="110"/>
      <c r="HS14" s="110"/>
      <c r="HT14" s="110"/>
      <c r="HU14" s="110"/>
      <c r="HV14" s="110"/>
      <c r="HW14" s="110"/>
      <c r="HX14" s="110"/>
      <c r="HY14" s="110"/>
      <c r="HZ14" s="110"/>
      <c r="IA14" s="110"/>
      <c r="IB14" s="110"/>
      <c r="IC14" s="110"/>
      <c r="ID14" s="110"/>
      <c r="IE14" s="110"/>
      <c r="IF14" s="110"/>
      <c r="IG14" s="110"/>
      <c r="IH14" s="110"/>
      <c r="II14" s="110"/>
      <c r="IJ14" s="110"/>
      <c r="IK14" s="110"/>
      <c r="IL14" s="110"/>
      <c r="IM14" s="110"/>
      <c r="IN14" s="110"/>
      <c r="IO14" s="110"/>
      <c r="IP14" s="110"/>
      <c r="IQ14" s="110"/>
      <c r="IR14" s="110"/>
      <c r="IS14" s="110"/>
      <c r="IT14" s="110"/>
      <c r="IU14" s="110"/>
      <c r="IV14" s="110"/>
    </row>
    <row r="15" spans="1:256" s="144" customFormat="1" x14ac:dyDescent="0.25">
      <c r="A15" s="143"/>
      <c r="J15" s="145"/>
      <c r="K15" s="143"/>
      <c r="V15" s="145"/>
      <c r="W15" s="115"/>
      <c r="X15" s="143"/>
      <c r="AI15" s="145"/>
      <c r="AJ15" s="143"/>
      <c r="AU15" s="145"/>
      <c r="AV15" s="143"/>
      <c r="BG15" s="145"/>
      <c r="BH15" s="143"/>
      <c r="BS15" s="145"/>
      <c r="BT15" s="143"/>
      <c r="CE15" s="145"/>
      <c r="CF15" s="143"/>
      <c r="CQ15" s="145"/>
      <c r="CR15" s="115"/>
      <c r="CS15" s="143"/>
      <c r="DE15" s="145"/>
      <c r="DF15" s="143"/>
      <c r="DR15" s="145"/>
      <c r="DS15" s="143"/>
      <c r="EE15" s="145"/>
      <c r="EF15" s="115"/>
      <c r="EG15" s="143"/>
      <c r="EZ15" s="145"/>
      <c r="FA15" s="112"/>
      <c r="FB15" s="146"/>
      <c r="FC15" s="143"/>
      <c r="FJ15" s="145"/>
      <c r="FK15" s="143"/>
      <c r="FP15" s="145"/>
      <c r="FQ15" s="143"/>
      <c r="GA15" s="145"/>
      <c r="GB15" s="143"/>
      <c r="GQ15" s="145"/>
      <c r="GR15" s="112"/>
      <c r="GS15" s="143"/>
      <c r="GV15" s="145"/>
      <c r="GW15" s="145"/>
      <c r="GX15" s="145"/>
      <c r="GY15" s="112"/>
      <c r="GZ15" s="147"/>
      <c r="HA15" s="143"/>
      <c r="HB15" s="145"/>
      <c r="HC15" s="146"/>
      <c r="HD15" s="146"/>
      <c r="HE15" s="143"/>
      <c r="HF15" s="145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  <c r="IB15" s="110"/>
      <c r="IC15" s="110"/>
      <c r="ID15" s="110"/>
      <c r="IE15" s="110"/>
      <c r="IF15" s="110"/>
      <c r="IG15" s="110"/>
      <c r="IH15" s="110"/>
      <c r="II15" s="110"/>
      <c r="IJ15" s="110"/>
      <c r="IK15" s="110"/>
      <c r="IL15" s="110"/>
      <c r="IM15" s="110"/>
      <c r="IN15" s="110"/>
      <c r="IO15" s="110"/>
      <c r="IP15" s="110"/>
      <c r="IQ15" s="110"/>
      <c r="IR15" s="110"/>
      <c r="IS15" s="110"/>
      <c r="IT15" s="110"/>
      <c r="IU15" s="110"/>
      <c r="IV15" s="110"/>
    </row>
    <row r="16" spans="1:256" s="144" customFormat="1" x14ac:dyDescent="0.25">
      <c r="A16" s="143"/>
      <c r="J16" s="145"/>
      <c r="K16" s="143"/>
      <c r="V16" s="145"/>
      <c r="W16" s="115"/>
      <c r="X16" s="143"/>
      <c r="AI16" s="145"/>
      <c r="AJ16" s="143"/>
      <c r="AU16" s="145"/>
      <c r="AV16" s="143"/>
      <c r="BG16" s="145"/>
      <c r="BH16" s="143"/>
      <c r="BS16" s="145"/>
      <c r="BT16" s="143"/>
      <c r="CE16" s="145"/>
      <c r="CF16" s="143"/>
      <c r="CQ16" s="145"/>
      <c r="CR16" s="115"/>
      <c r="CS16" s="143"/>
      <c r="DE16" s="145"/>
      <c r="DF16" s="143"/>
      <c r="DR16" s="145"/>
      <c r="DS16" s="143"/>
      <c r="EE16" s="145"/>
      <c r="EF16" s="115"/>
      <c r="EG16" s="143"/>
      <c r="EZ16" s="145"/>
      <c r="FA16" s="112"/>
      <c r="FB16" s="146"/>
      <c r="FC16" s="143"/>
      <c r="FJ16" s="145"/>
      <c r="FK16" s="143"/>
      <c r="FP16" s="145"/>
      <c r="FQ16" s="143"/>
      <c r="GA16" s="145"/>
      <c r="GB16" s="143"/>
      <c r="GQ16" s="145"/>
      <c r="GR16" s="112"/>
      <c r="GS16" s="143"/>
      <c r="GV16" s="145"/>
      <c r="GW16" s="145"/>
      <c r="GX16" s="145"/>
      <c r="GY16" s="112"/>
      <c r="GZ16" s="147"/>
      <c r="HA16" s="143"/>
      <c r="HB16" s="145"/>
      <c r="HC16" s="146"/>
      <c r="HD16" s="146"/>
      <c r="HE16" s="143"/>
      <c r="HF16" s="145"/>
      <c r="HG16" s="110"/>
      <c r="HH16" s="110"/>
      <c r="HI16" s="110"/>
      <c r="HJ16" s="110"/>
      <c r="HK16" s="110"/>
      <c r="HL16" s="110"/>
      <c r="HM16" s="110"/>
      <c r="HN16" s="110"/>
      <c r="HO16" s="110"/>
      <c r="HP16" s="110"/>
      <c r="HQ16" s="110"/>
      <c r="HR16" s="110"/>
      <c r="HS16" s="110"/>
      <c r="HT16" s="110"/>
      <c r="HU16" s="110"/>
      <c r="HV16" s="110"/>
      <c r="HW16" s="110"/>
      <c r="HX16" s="110"/>
      <c r="HY16" s="110"/>
      <c r="HZ16" s="110"/>
      <c r="IA16" s="110"/>
      <c r="IB16" s="110"/>
      <c r="IC16" s="110"/>
      <c r="ID16" s="110"/>
      <c r="IE16" s="110"/>
      <c r="IF16" s="110"/>
      <c r="IG16" s="110"/>
      <c r="IH16" s="110"/>
      <c r="II16" s="110"/>
      <c r="IJ16" s="110"/>
      <c r="IK16" s="110"/>
      <c r="IL16" s="110"/>
      <c r="IM16" s="110"/>
      <c r="IN16" s="110"/>
      <c r="IO16" s="110"/>
      <c r="IP16" s="110"/>
      <c r="IQ16" s="110"/>
      <c r="IR16" s="110"/>
      <c r="IS16" s="110"/>
      <c r="IT16" s="110"/>
      <c r="IU16" s="110"/>
      <c r="IV16" s="110"/>
    </row>
    <row r="17" spans="1:256" s="144" customFormat="1" x14ac:dyDescent="0.25">
      <c r="A17" s="143"/>
      <c r="J17" s="145"/>
      <c r="K17" s="143"/>
      <c r="V17" s="145"/>
      <c r="W17" s="115"/>
      <c r="X17" s="143"/>
      <c r="AI17" s="145"/>
      <c r="AJ17" s="143"/>
      <c r="AU17" s="145"/>
      <c r="AV17" s="143"/>
      <c r="BG17" s="145"/>
      <c r="BH17" s="143"/>
      <c r="BS17" s="145"/>
      <c r="BT17" s="143"/>
      <c r="CE17" s="145"/>
      <c r="CF17" s="143"/>
      <c r="CQ17" s="145"/>
      <c r="CR17" s="115"/>
      <c r="CS17" s="143"/>
      <c r="DE17" s="145"/>
      <c r="DF17" s="143"/>
      <c r="DR17" s="145"/>
      <c r="DS17" s="143"/>
      <c r="EE17" s="145"/>
      <c r="EF17" s="115"/>
      <c r="EG17" s="143"/>
      <c r="EZ17" s="145"/>
      <c r="FA17" s="112"/>
      <c r="FB17" s="146"/>
      <c r="FC17" s="143"/>
      <c r="FJ17" s="145"/>
      <c r="FK17" s="143"/>
      <c r="FP17" s="145"/>
      <c r="FQ17" s="143"/>
      <c r="GA17" s="145"/>
      <c r="GB17" s="143"/>
      <c r="GQ17" s="145"/>
      <c r="GR17" s="112"/>
      <c r="GS17" s="143"/>
      <c r="GV17" s="145"/>
      <c r="GW17" s="145"/>
      <c r="GX17" s="145"/>
      <c r="GY17" s="112"/>
      <c r="GZ17" s="147"/>
      <c r="HA17" s="143"/>
      <c r="HB17" s="145"/>
      <c r="HC17" s="146"/>
      <c r="HD17" s="146"/>
      <c r="HE17" s="143"/>
      <c r="HF17" s="145"/>
      <c r="HG17" s="110"/>
      <c r="HH17" s="110"/>
      <c r="HI17" s="110"/>
      <c r="HJ17" s="110"/>
      <c r="HK17" s="110"/>
      <c r="HL17" s="110"/>
      <c r="HM17" s="110"/>
      <c r="HN17" s="110"/>
      <c r="HO17" s="110"/>
      <c r="HP17" s="110"/>
      <c r="HQ17" s="110"/>
      <c r="HR17" s="110"/>
      <c r="HS17" s="110"/>
      <c r="HT17" s="110"/>
      <c r="HU17" s="110"/>
      <c r="HV17" s="110"/>
      <c r="HW17" s="110"/>
      <c r="HX17" s="110"/>
      <c r="HY17" s="110"/>
      <c r="HZ17" s="110"/>
      <c r="IA17" s="110"/>
      <c r="IB17" s="110"/>
      <c r="IC17" s="110"/>
      <c r="ID17" s="110"/>
      <c r="IE17" s="110"/>
      <c r="IF17" s="110"/>
      <c r="IG17" s="110"/>
      <c r="IH17" s="110"/>
      <c r="II17" s="110"/>
      <c r="IJ17" s="110"/>
      <c r="IK17" s="110"/>
      <c r="IL17" s="110"/>
      <c r="IM17" s="110"/>
      <c r="IN17" s="110"/>
      <c r="IO17" s="110"/>
      <c r="IP17" s="110"/>
      <c r="IQ17" s="110"/>
      <c r="IR17" s="110"/>
      <c r="IS17" s="110"/>
      <c r="IT17" s="110"/>
      <c r="IU17" s="110"/>
      <c r="IV17" s="110"/>
    </row>
    <row r="18" spans="1:256" s="144" customFormat="1" x14ac:dyDescent="0.25">
      <c r="A18" s="143"/>
      <c r="J18" s="145"/>
      <c r="K18" s="143"/>
      <c r="V18" s="145"/>
      <c r="W18" s="115"/>
      <c r="X18" s="143"/>
      <c r="AI18" s="145"/>
      <c r="AJ18" s="143"/>
      <c r="AU18" s="145"/>
      <c r="AV18" s="143"/>
      <c r="BG18" s="145"/>
      <c r="BH18" s="143"/>
      <c r="BS18" s="145"/>
      <c r="BT18" s="143"/>
      <c r="CE18" s="145"/>
      <c r="CF18" s="143"/>
      <c r="CQ18" s="145"/>
      <c r="CR18" s="115"/>
      <c r="CS18" s="143"/>
      <c r="DE18" s="145"/>
      <c r="DF18" s="143"/>
      <c r="DR18" s="145"/>
      <c r="DS18" s="143"/>
      <c r="EE18" s="145"/>
      <c r="EF18" s="115"/>
      <c r="EG18" s="143"/>
      <c r="EZ18" s="145"/>
      <c r="FA18" s="112"/>
      <c r="FB18" s="146"/>
      <c r="FC18" s="143"/>
      <c r="FJ18" s="145"/>
      <c r="FK18" s="143"/>
      <c r="FP18" s="145"/>
      <c r="FQ18" s="143"/>
      <c r="GA18" s="145"/>
      <c r="GB18" s="143"/>
      <c r="GQ18" s="145"/>
      <c r="GR18" s="112"/>
      <c r="GS18" s="143"/>
      <c r="GV18" s="145"/>
      <c r="GW18" s="145"/>
      <c r="GX18" s="145"/>
      <c r="GY18" s="112"/>
      <c r="GZ18" s="147"/>
      <c r="HA18" s="143"/>
      <c r="HB18" s="145"/>
      <c r="HC18" s="146"/>
      <c r="HD18" s="146"/>
      <c r="HE18" s="143"/>
      <c r="HF18" s="145"/>
      <c r="HG18" s="110"/>
      <c r="HH18" s="110"/>
      <c r="HI18" s="110"/>
      <c r="HJ18" s="110"/>
      <c r="HK18" s="110"/>
      <c r="HL18" s="110"/>
      <c r="HM18" s="110"/>
      <c r="HN18" s="110"/>
      <c r="HO18" s="110"/>
      <c r="HP18" s="110"/>
      <c r="HQ18" s="110"/>
      <c r="HR18" s="110"/>
      <c r="HS18" s="110"/>
      <c r="HT18" s="110"/>
      <c r="HU18" s="110"/>
      <c r="HV18" s="110"/>
      <c r="HW18" s="110"/>
      <c r="HX18" s="110"/>
      <c r="HY18" s="110"/>
      <c r="HZ18" s="110"/>
      <c r="IA18" s="110"/>
      <c r="IB18" s="110"/>
      <c r="IC18" s="110"/>
      <c r="ID18" s="110"/>
      <c r="IE18" s="110"/>
      <c r="IF18" s="110"/>
      <c r="IG18" s="110"/>
      <c r="IH18" s="110"/>
      <c r="II18" s="110"/>
      <c r="IJ18" s="110"/>
      <c r="IK18" s="110"/>
      <c r="IL18" s="110"/>
      <c r="IM18" s="110"/>
      <c r="IN18" s="110"/>
      <c r="IO18" s="110"/>
      <c r="IP18" s="110"/>
      <c r="IQ18" s="110"/>
      <c r="IR18" s="110"/>
      <c r="IS18" s="110"/>
      <c r="IT18" s="110"/>
      <c r="IU18" s="110"/>
      <c r="IV18" s="110"/>
    </row>
    <row r="19" spans="1:256" s="149" customFormat="1" x14ac:dyDescent="0.25">
      <c r="A19" s="148"/>
      <c r="J19" s="150"/>
      <c r="K19" s="148"/>
      <c r="V19" s="150"/>
      <c r="W19" s="115"/>
      <c r="X19" s="148"/>
      <c r="AI19" s="150"/>
      <c r="AJ19" s="148"/>
      <c r="AU19" s="150"/>
      <c r="AV19" s="148"/>
      <c r="BG19" s="150"/>
      <c r="BH19" s="148"/>
      <c r="BS19" s="150"/>
      <c r="BT19" s="148"/>
      <c r="CE19" s="150"/>
      <c r="CF19" s="148"/>
      <c r="CQ19" s="150"/>
      <c r="CR19" s="115"/>
      <c r="CS19" s="148"/>
      <c r="DE19" s="150"/>
      <c r="DF19" s="148"/>
      <c r="DR19" s="150"/>
      <c r="DS19" s="148"/>
      <c r="EE19" s="150"/>
      <c r="EF19" s="115"/>
      <c r="EG19" s="148"/>
      <c r="EZ19" s="150"/>
      <c r="FA19" s="112"/>
      <c r="FB19" s="151"/>
      <c r="FC19" s="148"/>
      <c r="FJ19" s="150"/>
      <c r="FK19" s="148"/>
      <c r="FP19" s="150"/>
      <c r="FQ19" s="148"/>
      <c r="GA19" s="150"/>
      <c r="GB19" s="148"/>
      <c r="GQ19" s="150"/>
      <c r="GR19" s="112"/>
      <c r="GS19" s="148"/>
      <c r="GV19" s="150"/>
      <c r="GW19" s="150"/>
      <c r="GX19" s="150"/>
      <c r="GY19" s="112"/>
      <c r="GZ19" s="152"/>
      <c r="HA19" s="148"/>
      <c r="HB19" s="150"/>
      <c r="HC19" s="151"/>
      <c r="HD19" s="151"/>
      <c r="HE19" s="148"/>
      <c r="HF19" s="150"/>
      <c r="HG19" s="110"/>
      <c r="HH19" s="110"/>
      <c r="HI19" s="110"/>
      <c r="HJ19" s="110"/>
      <c r="HK19" s="110"/>
      <c r="HL19" s="110"/>
      <c r="HM19" s="110"/>
      <c r="HN19" s="110"/>
      <c r="HO19" s="110"/>
      <c r="HP19" s="110"/>
      <c r="HQ19" s="110"/>
      <c r="HR19" s="110"/>
      <c r="HS19" s="110"/>
      <c r="HT19" s="110"/>
      <c r="HU19" s="110"/>
      <c r="HV19" s="110"/>
      <c r="HW19" s="110"/>
      <c r="HX19" s="110"/>
      <c r="HY19" s="110"/>
      <c r="HZ19" s="110"/>
      <c r="IA19" s="110"/>
      <c r="IB19" s="110"/>
      <c r="IC19" s="110"/>
      <c r="ID19" s="110"/>
      <c r="IE19" s="110"/>
      <c r="IF19" s="110"/>
      <c r="IG19" s="110"/>
      <c r="IH19" s="110"/>
      <c r="II19" s="110"/>
      <c r="IJ19" s="110"/>
      <c r="IK19" s="110"/>
      <c r="IL19" s="110"/>
      <c r="IM19" s="110"/>
      <c r="IN19" s="110"/>
      <c r="IO19" s="110"/>
      <c r="IP19" s="110"/>
      <c r="IQ19" s="110"/>
      <c r="IR19" s="110"/>
      <c r="IS19" s="110"/>
      <c r="IT19" s="110"/>
      <c r="IU19" s="110"/>
      <c r="IV19" s="110"/>
    </row>
  </sheetData>
  <sheetProtection selectLockedCells="1" selectUnlockedCells="1"/>
  <mergeCells count="43">
    <mergeCell ref="A1:V1"/>
    <mergeCell ref="X1:CQ1"/>
    <mergeCell ref="CS1:EE1"/>
    <mergeCell ref="EG1:EZ1"/>
    <mergeCell ref="FB1:GQ1"/>
    <mergeCell ref="GS1:GX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V3"/>
    <mergeCell ref="X2:BG2"/>
    <mergeCell ref="BH2:CQ2"/>
    <mergeCell ref="CS2:EE2"/>
    <mergeCell ref="EG2:EZ3"/>
    <mergeCell ref="FB2:FB4"/>
    <mergeCell ref="FC2:FJ3"/>
    <mergeCell ref="FK2:FP4"/>
    <mergeCell ref="CS3:DE3"/>
    <mergeCell ref="DF3:DR3"/>
    <mergeCell ref="DS3:EE3"/>
    <mergeCell ref="FQ2:GA3"/>
    <mergeCell ref="GB2:GQ3"/>
    <mergeCell ref="GS2:GV3"/>
    <mergeCell ref="GW2:GW4"/>
    <mergeCell ref="GX2:GX4"/>
    <mergeCell ref="GZ2:GZ4"/>
    <mergeCell ref="HA2:HB3"/>
    <mergeCell ref="HC2:HC4"/>
    <mergeCell ref="HD2:HD4"/>
    <mergeCell ref="HE2:HF3"/>
    <mergeCell ref="X3:AI3"/>
    <mergeCell ref="AJ3:AU3"/>
    <mergeCell ref="AV3:BG3"/>
    <mergeCell ref="BH3:BS3"/>
    <mergeCell ref="BT3:CE3"/>
    <mergeCell ref="CF3:CQ3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2"/>
  <sheetViews>
    <sheetView tabSelected="1" zoomScaleSheetLayoutView="100" workbookViewId="0">
      <pane ySplit="1" topLeftCell="A2" activePane="bottomLeft" state="frozen"/>
      <selection pane="bottomLeft" activeCell="A2" sqref="A2"/>
    </sheetView>
  </sheetViews>
  <sheetFormatPr defaultColWidth="8.7109375" defaultRowHeight="15" x14ac:dyDescent="0.25"/>
  <cols>
    <col min="1" max="1" width="135.140625" style="46" customWidth="1"/>
    <col min="2" max="30" width="8.7109375" style="46" customWidth="1"/>
    <col min="31" max="16384" width="8.7109375" style="1"/>
  </cols>
  <sheetData>
    <row r="1" spans="1:1" x14ac:dyDescent="0.25">
      <c r="A1" s="47"/>
    </row>
    <row r="2" spans="1:1" ht="30" x14ac:dyDescent="0.25">
      <c r="A2" s="47" t="s">
        <v>253</v>
      </c>
    </row>
    <row r="3" spans="1:1" ht="60" x14ac:dyDescent="0.25">
      <c r="A3" s="47" t="s">
        <v>254</v>
      </c>
    </row>
    <row r="4" spans="1:1" ht="96" customHeight="1" x14ac:dyDescent="0.25">
      <c r="A4" s="47" t="s">
        <v>255</v>
      </c>
    </row>
    <row r="5" spans="1:1" ht="45" x14ac:dyDescent="0.25">
      <c r="A5" s="47" t="s">
        <v>256</v>
      </c>
    </row>
    <row r="6" spans="1:1" ht="30" x14ac:dyDescent="0.25">
      <c r="A6" s="47" t="s">
        <v>257</v>
      </c>
    </row>
    <row r="7" spans="1:1" ht="30" x14ac:dyDescent="0.25">
      <c r="A7" s="48" t="s">
        <v>258</v>
      </c>
    </row>
    <row r="8" spans="1:1" x14ac:dyDescent="0.25">
      <c r="A8" s="49" t="s">
        <v>259</v>
      </c>
    </row>
    <row r="9" spans="1:1" x14ac:dyDescent="0.25">
      <c r="A9" s="47"/>
    </row>
    <row r="10" spans="1:1" ht="24" customHeight="1" x14ac:dyDescent="0.25">
      <c r="A10" s="48" t="s">
        <v>260</v>
      </c>
    </row>
    <row r="11" spans="1:1" x14ac:dyDescent="0.25">
      <c r="A11" s="50"/>
    </row>
    <row r="12" spans="1:1" s="52" customFormat="1" ht="18.75" x14ac:dyDescent="0.2">
      <c r="A12" s="51" t="s">
        <v>261</v>
      </c>
    </row>
  </sheetData>
  <sheetProtection selectLockedCells="1" selectUnlockedCells="1"/>
  <hyperlinks>
    <hyperlink ref="A8" r:id="rId1"/>
    <hyperlink ref="A10" r:id="rId2"/>
    <hyperlink ref="A12" location="справка!A1" display="Перейти к заполнению анкеты в Excel. "/>
  </hyperlinks>
  <pageMargins left="0.70833333333333337" right="0.70833333333333337" top="0.74861111111111112" bottom="0.74861111111111112" header="0.31527777777777777" footer="0.31527777777777777"/>
  <pageSetup paperSize="9" firstPageNumber="0" orientation="portrait" horizontalDpi="300" verticalDpi="300"/>
  <headerFooter alignWithMargins="0">
    <oddHeader>&amp;C&amp;"Calibri,Обычный"&amp;11Анкета 13-го ежегодного исследования рынка ПО</oddHeader>
    <oddFooter>&amp;C&amp;"Calibri,Обычный"&amp;11НП "РУССОФТ", 2016 год
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D16"/>
  <sheetViews>
    <sheetView zoomScaleSheetLayoutView="100" workbookViewId="0">
      <pane ySplit="1" topLeftCell="A2" activePane="bottomLeft" state="frozen"/>
      <selection pane="bottomLeft" activeCell="A3" sqref="A3"/>
    </sheetView>
  </sheetViews>
  <sheetFormatPr defaultColWidth="8.7109375" defaultRowHeight="15" x14ac:dyDescent="0.25"/>
  <cols>
    <col min="1" max="1" width="125.42578125" style="46" customWidth="1"/>
    <col min="2" max="30" width="8.7109375" style="46" customWidth="1"/>
    <col min="31" max="16384" width="8.7109375" style="1"/>
  </cols>
  <sheetData>
    <row r="1" spans="1:1" x14ac:dyDescent="0.25">
      <c r="A1" s="53" t="s">
        <v>262</v>
      </c>
    </row>
    <row r="2" spans="1:1" x14ac:dyDescent="0.25">
      <c r="A2" s="53"/>
    </row>
    <row r="3" spans="1:1" x14ac:dyDescent="0.25">
      <c r="A3" s="53" t="s">
        <v>263</v>
      </c>
    </row>
    <row r="4" spans="1:1" x14ac:dyDescent="0.25">
      <c r="A4" s="53"/>
    </row>
    <row r="5" spans="1:1" x14ac:dyDescent="0.25">
      <c r="A5" s="54" t="s">
        <v>264</v>
      </c>
    </row>
    <row r="6" spans="1:1" x14ac:dyDescent="0.25">
      <c r="A6" s="55" t="s">
        <v>265</v>
      </c>
    </row>
    <row r="7" spans="1:1" ht="45.75" x14ac:dyDescent="0.25">
      <c r="A7" s="56" t="s">
        <v>266</v>
      </c>
    </row>
    <row r="8" spans="1:1" x14ac:dyDescent="0.25">
      <c r="A8" s="57" t="s">
        <v>267</v>
      </c>
    </row>
    <row r="10" spans="1:1" ht="30" x14ac:dyDescent="0.25">
      <c r="A10" s="58" t="s">
        <v>268</v>
      </c>
    </row>
    <row r="11" spans="1:1" x14ac:dyDescent="0.25">
      <c r="A11" s="58"/>
    </row>
    <row r="12" spans="1:1" ht="30" x14ac:dyDescent="0.25">
      <c r="A12" s="58" t="s">
        <v>269</v>
      </c>
    </row>
    <row r="13" spans="1:1" x14ac:dyDescent="0.25">
      <c r="A13" s="58"/>
    </row>
    <row r="14" spans="1:1" ht="30" x14ac:dyDescent="0.25">
      <c r="A14" s="58" t="s">
        <v>270</v>
      </c>
    </row>
    <row r="16" spans="1:1" s="52" customFormat="1" ht="18.75" x14ac:dyDescent="0.2">
      <c r="A16" s="51" t="s">
        <v>271</v>
      </c>
    </row>
  </sheetData>
  <sheetProtection selectLockedCells="1" selectUnlockedCells="1"/>
  <hyperlinks>
    <hyperlink ref="A16" location="1!A3" display="Начать заполнение анкеты"/>
  </hyperlinks>
  <pageMargins left="0.70833333333333337" right="0.70833333333333337" top="0.74861111111111112" bottom="0.74861111111111112" header="0.31527777777777777" footer="0.31527777777777777"/>
  <pageSetup paperSize="9" firstPageNumber="0" orientation="portrait" horizontalDpi="300" verticalDpi="300"/>
  <headerFooter alignWithMargins="0">
    <oddHeader>&amp;C&amp;"Calibri,Обычный"&amp;11Анкета 13-го ежегодного исследования рынка ПО</oddHeader>
    <oddFooter>&amp;C&amp;"Calibri,Обычный"&amp;11НП "РУССОФТ", 2016 год
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AD498"/>
  <sheetViews>
    <sheetView zoomScaleSheetLayoutView="100" workbookViewId="0">
      <pane xSplit="16" ySplit="1" topLeftCell="Q2" activePane="bottomRight" state="frozen"/>
      <selection pane="topRight" activeCell="Q1" sqref="Q1"/>
      <selection pane="bottomLeft" activeCell="A2" sqref="A2"/>
      <selection pane="bottomRight" activeCell="B2" sqref="B2"/>
    </sheetView>
  </sheetViews>
  <sheetFormatPr defaultColWidth="8.7109375" defaultRowHeight="15" zeroHeight="1" x14ac:dyDescent="0.25"/>
  <cols>
    <col min="1" max="1" width="25.42578125" style="46" customWidth="1"/>
    <col min="2" max="2" width="17.42578125" style="46" customWidth="1"/>
    <col min="3" max="3" width="21.5703125" style="59" customWidth="1"/>
    <col min="4" max="4" width="20.85546875" style="59" customWidth="1"/>
    <col min="5" max="5" width="22.85546875" style="59" customWidth="1"/>
    <col min="6" max="6" width="9" style="2" hidden="1" customWidth="1"/>
    <col min="7" max="8" width="9" style="60" hidden="1" customWidth="1"/>
    <col min="9" max="10" width="9" style="46" hidden="1" customWidth="1"/>
    <col min="11" max="11" width="9" style="4" hidden="1" customWidth="1"/>
    <col min="12" max="15" width="9" style="46" hidden="1" customWidth="1"/>
    <col min="16" max="16" width="8.7109375" style="46" hidden="1" customWidth="1"/>
    <col min="17" max="17" width="15.85546875" style="46" customWidth="1"/>
    <col min="18" max="30" width="8.7109375" style="46" customWidth="1"/>
    <col min="31" max="16384" width="8.7109375" style="1"/>
  </cols>
  <sheetData>
    <row r="1" spans="1:15" s="62" customFormat="1" ht="35.25" customHeight="1" x14ac:dyDescent="0.25">
      <c r="A1" s="61" t="s">
        <v>272</v>
      </c>
      <c r="C1" s="63"/>
      <c r="D1" s="63"/>
      <c r="E1" s="64" t="str">
        <f>IF(A15=" ","Продолжить заполнение анкеты"," ")</f>
        <v xml:space="preserve"> </v>
      </c>
      <c r="F1" s="65"/>
      <c r="G1" s="66"/>
      <c r="H1" s="66"/>
    </row>
    <row r="2" spans="1:15" x14ac:dyDescent="0.25"/>
    <row r="3" spans="1:15" ht="12.75" customHeight="1" x14ac:dyDescent="0.25">
      <c r="A3" s="195" t="s">
        <v>0</v>
      </c>
      <c r="B3" s="195"/>
      <c r="C3" s="195"/>
      <c r="D3" s="195"/>
      <c r="E3" s="195"/>
      <c r="L3" s="46" t="s">
        <v>1</v>
      </c>
      <c r="M3" s="46" t="s">
        <v>2</v>
      </c>
      <c r="N3" s="46" t="s">
        <v>3</v>
      </c>
      <c r="O3" s="46" t="s">
        <v>4</v>
      </c>
    </row>
    <row r="4" spans="1:15" ht="15" customHeight="1" x14ac:dyDescent="0.25">
      <c r="A4" s="169" t="s">
        <v>5</v>
      </c>
      <c r="B4" s="169"/>
      <c r="C4" s="190"/>
      <c r="D4" s="190"/>
      <c r="E4" s="190"/>
      <c r="F4" s="2" t="s">
        <v>6</v>
      </c>
      <c r="K4" s="4" t="str">
        <f>IF(C4=0,"Вы не указали наименование компании - строка 4 вопрос №1",0)</f>
        <v>Вы не указали наименование компании - строка 4 вопрос №1</v>
      </c>
      <c r="L4" s="46">
        <v>1</v>
      </c>
      <c r="M4" s="46">
        <f t="shared" ref="M4:M10" si="0">IF(K4=0,1,0)</f>
        <v>0</v>
      </c>
      <c r="N4" s="46">
        <v>1</v>
      </c>
      <c r="O4" s="46">
        <f t="shared" ref="O4:O10" si="1">IF(-M4+N4&lt;=0,"",ROW(K4)-ROW($K$3))</f>
        <v>1</v>
      </c>
    </row>
    <row r="5" spans="1:15" ht="15" customHeight="1" x14ac:dyDescent="0.25">
      <c r="A5" s="156" t="s">
        <v>7</v>
      </c>
      <c r="B5" s="156"/>
      <c r="C5" s="187"/>
      <c r="D5" s="187"/>
      <c r="E5" s="187"/>
      <c r="F5" s="2" t="s">
        <v>8</v>
      </c>
      <c r="K5" s="4" t="str">
        <f>IF(C5=0,"Вы не указали англ. наименование компании - строка 5 вопрос №2",0)</f>
        <v>Вы не указали англ. наименование компании - строка 5 вопрос №2</v>
      </c>
      <c r="L5" s="46">
        <f t="shared" ref="L5:L10" si="2">L4+1</f>
        <v>2</v>
      </c>
      <c r="M5" s="46">
        <f t="shared" si="0"/>
        <v>0</v>
      </c>
      <c r="N5" s="46">
        <v>1</v>
      </c>
      <c r="O5" s="46">
        <f t="shared" si="1"/>
        <v>2</v>
      </c>
    </row>
    <row r="6" spans="1:15" ht="44.85" customHeight="1" x14ac:dyDescent="0.25">
      <c r="A6" s="156" t="s">
        <v>9</v>
      </c>
      <c r="B6" s="156"/>
      <c r="C6" s="187"/>
      <c r="D6" s="187"/>
      <c r="E6" s="187"/>
      <c r="F6" s="2" t="s">
        <v>10</v>
      </c>
      <c r="K6" s="4" t="str">
        <f>IF(C6=0,"Вы не указали год основания компании - строка 6 вопрос №3",0)</f>
        <v>Вы не указали год основания компании - строка 6 вопрос №3</v>
      </c>
      <c r="L6" s="46">
        <f t="shared" si="2"/>
        <v>3</v>
      </c>
      <c r="M6" s="46">
        <f t="shared" si="0"/>
        <v>0</v>
      </c>
      <c r="N6" s="46">
        <v>1</v>
      </c>
      <c r="O6" s="46">
        <f t="shared" si="1"/>
        <v>3</v>
      </c>
    </row>
    <row r="7" spans="1:15" ht="47.1" customHeight="1" x14ac:dyDescent="0.25">
      <c r="A7" s="189" t="s">
        <v>11</v>
      </c>
      <c r="B7" s="189"/>
      <c r="C7" s="187"/>
      <c r="D7" s="187"/>
      <c r="E7" s="187"/>
      <c r="K7" s="4" t="str">
        <f>IF(C7=0,"Вы не указали головной офис компании - строка 7 вопрос №4",0)</f>
        <v>Вы не указали головной офис компании - строка 7 вопрос №4</v>
      </c>
      <c r="L7" s="46">
        <f t="shared" si="2"/>
        <v>4</v>
      </c>
      <c r="M7" s="46">
        <f t="shared" si="0"/>
        <v>0</v>
      </c>
      <c r="N7" s="46">
        <v>1</v>
      </c>
      <c r="O7" s="46">
        <f t="shared" si="1"/>
        <v>4</v>
      </c>
    </row>
    <row r="8" spans="1:15" ht="15" customHeight="1" x14ac:dyDescent="0.25">
      <c r="A8" s="156" t="s">
        <v>12</v>
      </c>
      <c r="B8" s="156"/>
      <c r="C8" s="194"/>
      <c r="D8" s="194"/>
      <c r="E8" s="194"/>
      <c r="F8" s="2" t="s">
        <v>6</v>
      </c>
      <c r="K8" s="4" t="str">
        <f>IF(C8=0,"Вы не указали адрес веб-сайта компании - строка 8 вопрос №5",0)</f>
        <v>Вы не указали адрес веб-сайта компании - строка 8 вопрос №5</v>
      </c>
      <c r="L8" s="46">
        <f t="shared" si="2"/>
        <v>5</v>
      </c>
      <c r="M8" s="46">
        <f t="shared" si="0"/>
        <v>0</v>
      </c>
      <c r="N8" s="46">
        <v>1</v>
      </c>
      <c r="O8" s="46">
        <f t="shared" si="1"/>
        <v>5</v>
      </c>
    </row>
    <row r="9" spans="1:15" ht="15" customHeight="1" x14ac:dyDescent="0.25">
      <c r="A9" s="156" t="s">
        <v>13</v>
      </c>
      <c r="B9" s="156"/>
      <c r="C9" s="194"/>
      <c r="D9" s="194"/>
      <c r="E9" s="194"/>
      <c r="F9" s="2" t="s">
        <v>14</v>
      </c>
      <c r="K9" s="4" t="str">
        <f>IF(C9=0,"Вы не указали адрес электронной почты - строка 9 вопрос №6",0)</f>
        <v>Вы не указали адрес электронной почты - строка 9 вопрос №6</v>
      </c>
      <c r="L9" s="46">
        <f t="shared" si="2"/>
        <v>6</v>
      </c>
      <c r="M9" s="46">
        <f t="shared" si="0"/>
        <v>0</v>
      </c>
      <c r="N9" s="46">
        <v>1</v>
      </c>
      <c r="O9" s="46">
        <f t="shared" si="1"/>
        <v>6</v>
      </c>
    </row>
    <row r="10" spans="1:15" ht="15" customHeight="1" x14ac:dyDescent="0.25">
      <c r="A10" s="156" t="s">
        <v>15</v>
      </c>
      <c r="B10" s="156"/>
      <c r="C10" s="187"/>
      <c r="D10" s="187"/>
      <c r="E10" s="187"/>
      <c r="F10" s="2" t="s">
        <v>16</v>
      </c>
      <c r="K10" s="4" t="str">
        <f>IF(C10=0,"Вы не указали контактный телефон - строка 10 вопрос №7",0)</f>
        <v>Вы не указали контактный телефон - строка 10 вопрос №7</v>
      </c>
      <c r="L10" s="46">
        <f t="shared" si="2"/>
        <v>7</v>
      </c>
      <c r="M10" s="46">
        <f t="shared" si="0"/>
        <v>0</v>
      </c>
      <c r="N10" s="46">
        <v>1</v>
      </c>
      <c r="O10" s="46">
        <f t="shared" si="1"/>
        <v>7</v>
      </c>
    </row>
    <row r="11" spans="1:15" ht="15" customHeight="1" x14ac:dyDescent="0.25">
      <c r="A11" s="192" t="s">
        <v>17</v>
      </c>
      <c r="B11" s="192"/>
      <c r="C11" s="193"/>
      <c r="D11" s="193"/>
      <c r="E11" s="193"/>
    </row>
    <row r="12" spans="1:15" ht="15" customHeight="1" x14ac:dyDescent="0.25">
      <c r="A12" s="186" t="s">
        <v>18</v>
      </c>
      <c r="B12" s="186"/>
      <c r="C12" s="187"/>
      <c r="D12" s="187"/>
      <c r="E12" s="187"/>
      <c r="K12" s="4" t="str">
        <f>IF(C12=0,"Вы не указали ФИО контактного лица - строка 12 вопрос №8",0)</f>
        <v>Вы не указали ФИО контактного лица - строка 12 вопрос №8</v>
      </c>
      <c r="L12" s="46">
        <f>L10+1</f>
        <v>8</v>
      </c>
      <c r="M12" s="46">
        <f>IF(K12=0,1,0)</f>
        <v>0</v>
      </c>
      <c r="N12" s="46">
        <v>1</v>
      </c>
      <c r="O12" s="46">
        <f>IF(-M12+N12&lt;=0,"",ROW(K12)-ROW($K$3))</f>
        <v>9</v>
      </c>
    </row>
    <row r="13" spans="1:15" ht="15" customHeight="1" x14ac:dyDescent="0.25">
      <c r="A13" s="186" t="s">
        <v>19</v>
      </c>
      <c r="B13" s="186"/>
      <c r="C13" s="187"/>
      <c r="D13" s="187"/>
      <c r="E13" s="187"/>
      <c r="K13" s="4" t="str">
        <f>IF(C13=0,"Вы не указали должность контактного лица - строка 13 вопрос №8",0)</f>
        <v>Вы не указали должность контактного лица - строка 13 вопрос №8</v>
      </c>
      <c r="L13" s="46">
        <f>L12+1</f>
        <v>9</v>
      </c>
      <c r="M13" s="46">
        <f>IF(K13=0,1,0)</f>
        <v>0</v>
      </c>
      <c r="N13" s="46">
        <v>1</v>
      </c>
      <c r="O13" s="46">
        <f>IF(-M13+N13&lt;=0,"",ROW(K13)-ROW($K$3))</f>
        <v>10</v>
      </c>
    </row>
    <row r="14" spans="1:15" s="26" customFormat="1" x14ac:dyDescent="0.25">
      <c r="A14" s="41"/>
      <c r="C14" s="42"/>
      <c r="D14" s="42"/>
      <c r="E14" s="42"/>
      <c r="F14" s="2"/>
      <c r="G14" s="40"/>
      <c r="H14" s="40"/>
      <c r="K14" s="4"/>
    </row>
    <row r="15" spans="1:15" s="26" customFormat="1" ht="15.75" customHeight="1" x14ac:dyDescent="0.25">
      <c r="A15" s="191" t="str">
        <f>IF(SUM(F16:F24)=0," ","Замечания по заполнению анкеты")</f>
        <v>Замечания по заполнению анкеты</v>
      </c>
      <c r="B15" s="191"/>
      <c r="C15" s="191"/>
      <c r="D15" s="191"/>
      <c r="E15" s="191"/>
      <c r="F15" s="2"/>
      <c r="G15" s="40"/>
      <c r="H15" s="40"/>
      <c r="K15" s="41"/>
    </row>
    <row r="16" spans="1:15" s="26" customFormat="1" x14ac:dyDescent="0.25">
      <c r="A16" s="41" t="str">
        <f t="shared" ref="A16:A22" si="3">IF(L4&gt;COUNT($O$4:$O$13),"",INDEX($K$4:$K$13,SMALL($O$4:$O$13,ROW(K4)-3)))</f>
        <v>Вы не указали наименование компании - строка 4 вопрос №1</v>
      </c>
      <c r="C16" s="42"/>
      <c r="D16" s="42"/>
      <c r="E16" s="42"/>
      <c r="F16" s="2">
        <f t="shared" ref="F16:F24" si="4">IF(A16="",0,1)</f>
        <v>1</v>
      </c>
      <c r="G16" s="40"/>
      <c r="H16" s="40"/>
      <c r="K16" s="41"/>
    </row>
    <row r="17" spans="1:11" s="26" customFormat="1" x14ac:dyDescent="0.25">
      <c r="A17" s="41" t="str">
        <f t="shared" si="3"/>
        <v>Вы не указали англ. наименование компании - строка 5 вопрос №2</v>
      </c>
      <c r="C17" s="42"/>
      <c r="D17" s="42"/>
      <c r="E17" s="42"/>
      <c r="F17" s="2">
        <f t="shared" si="4"/>
        <v>1</v>
      </c>
      <c r="G17" s="40"/>
      <c r="H17" s="40"/>
      <c r="K17" s="41"/>
    </row>
    <row r="18" spans="1:11" s="26" customFormat="1" x14ac:dyDescent="0.25">
      <c r="A18" s="41" t="str">
        <f t="shared" si="3"/>
        <v>Вы не указали год основания компании - строка 6 вопрос №3</v>
      </c>
      <c r="C18" s="42"/>
      <c r="D18" s="42"/>
      <c r="E18" s="42"/>
      <c r="F18" s="2">
        <f t="shared" si="4"/>
        <v>1</v>
      </c>
      <c r="G18" s="40"/>
      <c r="H18" s="40"/>
      <c r="K18" s="41"/>
    </row>
    <row r="19" spans="1:11" s="26" customFormat="1" x14ac:dyDescent="0.25">
      <c r="A19" s="41" t="str">
        <f t="shared" si="3"/>
        <v>Вы не указали головной офис компании - строка 7 вопрос №4</v>
      </c>
      <c r="C19" s="42"/>
      <c r="D19" s="42"/>
      <c r="E19" s="42"/>
      <c r="F19" s="2">
        <f t="shared" si="4"/>
        <v>1</v>
      </c>
      <c r="G19" s="40"/>
      <c r="H19" s="40"/>
      <c r="K19" s="41"/>
    </row>
    <row r="20" spans="1:11" s="26" customFormat="1" x14ac:dyDescent="0.25">
      <c r="A20" s="41" t="str">
        <f t="shared" si="3"/>
        <v>Вы не указали адрес веб-сайта компании - строка 8 вопрос №5</v>
      </c>
      <c r="C20" s="42"/>
      <c r="D20" s="42"/>
      <c r="E20" s="42"/>
      <c r="F20" s="2">
        <f t="shared" si="4"/>
        <v>1</v>
      </c>
      <c r="G20" s="40"/>
      <c r="H20" s="40"/>
      <c r="K20" s="41"/>
    </row>
    <row r="21" spans="1:11" s="26" customFormat="1" x14ac:dyDescent="0.25">
      <c r="A21" s="41" t="str">
        <f t="shared" si="3"/>
        <v>Вы не указали адрес электронной почты - строка 9 вопрос №6</v>
      </c>
      <c r="C21" s="42"/>
      <c r="D21" s="42"/>
      <c r="E21" s="42"/>
      <c r="F21" s="2">
        <f t="shared" si="4"/>
        <v>1</v>
      </c>
      <c r="G21" s="40"/>
      <c r="H21" s="40"/>
      <c r="K21" s="41"/>
    </row>
    <row r="22" spans="1:11" s="26" customFormat="1" x14ac:dyDescent="0.25">
      <c r="A22" s="41" t="str">
        <f t="shared" si="3"/>
        <v>Вы не указали контактный телефон - строка 10 вопрос №7</v>
      </c>
      <c r="C22" s="42"/>
      <c r="D22" s="42"/>
      <c r="E22" s="42"/>
      <c r="F22" s="2">
        <f t="shared" si="4"/>
        <v>1</v>
      </c>
      <c r="G22" s="40"/>
      <c r="H22" s="40"/>
      <c r="K22" s="41"/>
    </row>
    <row r="23" spans="1:11" s="26" customFormat="1" x14ac:dyDescent="0.25">
      <c r="A23" s="41" t="str">
        <f>IF(L12&gt;COUNT($O$4:$O$13),"",INDEX($K$4:$K$13,SMALL($O$4:$O$13,ROW(K11)-3)))</f>
        <v>Вы не указали ФИО контактного лица - строка 12 вопрос №8</v>
      </c>
      <c r="C23" s="42"/>
      <c r="D23" s="42"/>
      <c r="E23" s="42"/>
      <c r="F23" s="2">
        <f t="shared" si="4"/>
        <v>1</v>
      </c>
      <c r="G23" s="40"/>
      <c r="H23" s="40"/>
      <c r="K23" s="41"/>
    </row>
    <row r="24" spans="1:11" x14ac:dyDescent="0.25">
      <c r="A24" s="41" t="str">
        <f>IF(L13&gt;COUNT($O$4:$O$13),"",INDEX($K$4:$K$13,SMALL($O$4:$O$13,ROW(K12)-3)))</f>
        <v>Вы не указали должность контактного лица - строка 13 вопрос №8</v>
      </c>
      <c r="F24" s="2">
        <f t="shared" si="4"/>
        <v>1</v>
      </c>
    </row>
    <row r="25" spans="1:11" x14ac:dyDescent="0.25"/>
    <row r="26" spans="1:11" x14ac:dyDescent="0.25"/>
    <row r="27" spans="1:11" x14ac:dyDescent="0.25"/>
    <row r="28" spans="1:11" x14ac:dyDescent="0.25"/>
    <row r="29" spans="1:11" x14ac:dyDescent="0.25"/>
    <row r="30" spans="1:11" x14ac:dyDescent="0.25"/>
    <row r="31" spans="1:11" x14ac:dyDescent="0.25"/>
    <row r="32" spans="1:11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</sheetData>
  <sheetProtection selectLockedCells="1" selectUnlockedCells="1"/>
  <mergeCells count="22">
    <mergeCell ref="A3:E3"/>
    <mergeCell ref="A4:B4"/>
    <mergeCell ref="C4:E4"/>
    <mergeCell ref="A5:B5"/>
    <mergeCell ref="C5:E5"/>
    <mergeCell ref="A6:B6"/>
    <mergeCell ref="C6:E6"/>
    <mergeCell ref="A7:B7"/>
    <mergeCell ref="C7:E7"/>
    <mergeCell ref="A8:B8"/>
    <mergeCell ref="C8:E8"/>
    <mergeCell ref="A9:B9"/>
    <mergeCell ref="C9:E9"/>
    <mergeCell ref="A13:B13"/>
    <mergeCell ref="C13:E13"/>
    <mergeCell ref="A15:E15"/>
    <mergeCell ref="A10:B10"/>
    <mergeCell ref="C10:E10"/>
    <mergeCell ref="A11:B11"/>
    <mergeCell ref="C11:E11"/>
    <mergeCell ref="A12:B12"/>
    <mergeCell ref="C12:E12"/>
  </mergeCells>
  <conditionalFormatting sqref="A15">
    <cfRule type="expression" dxfId="136" priority="1" stopIfTrue="1">
      <formula>NOT(ISERROR(SEARCH("ДАЛЕЕ",A15)))</formula>
    </cfRule>
  </conditionalFormatting>
  <conditionalFormatting sqref="A15:E15">
    <cfRule type="expression" dxfId="135" priority="2" stopIfTrue="1">
      <formula>NOT(ISERROR(SEARCH("продолжить",A15)))</formula>
    </cfRule>
  </conditionalFormatting>
  <conditionalFormatting sqref="C4:E10 C12:E13">
    <cfRule type="cellIs" dxfId="134" priority="3" stopIfTrue="1" operator="greaterThan">
      <formula>0</formula>
    </cfRule>
    <cfRule type="cellIs" dxfId="133" priority="4" stopIfTrue="1" operator="equal">
      <formula>0</formula>
    </cfRule>
  </conditionalFormatting>
  <conditionalFormatting sqref="E1">
    <cfRule type="expression" dxfId="132" priority="5" stopIfTrue="1">
      <formula>NOT(ISERROR(SEARCH("продолжить",E1)))</formula>
    </cfRule>
  </conditionalFormatting>
  <hyperlinks>
    <hyperlink ref="A1" location="описание!A6" display="Вернуться к описанию условий"/>
  </hyperlinks>
  <pageMargins left="0.51180555555555551" right="0.51180555555555551" top="0.74861111111111112" bottom="0.74861111111111112" header="0.31527777777777777" footer="0.31527777777777777"/>
  <pageSetup paperSize="9" scale="87" firstPageNumber="0" orientation="portrait" horizontalDpi="300" verticalDpi="300"/>
  <headerFooter alignWithMargins="0">
    <oddHeader>&amp;C&amp;"Calibri,Обычный"&amp;11Анкета 13-го ежегодного исследования рынка ПО</oddHeader>
    <oddFooter>&amp;C&amp;"Calibri,Обычный"&amp;11НП "РУССОФТ", 2016 год
стр.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AD504"/>
  <sheetViews>
    <sheetView zoomScaleSheetLayoutView="100" workbookViewId="0">
      <pane ySplit="1" topLeftCell="A2" activePane="bottomLeft" state="frozen"/>
      <selection pane="bottomLeft" activeCell="B14" sqref="B14"/>
    </sheetView>
  </sheetViews>
  <sheetFormatPr defaultColWidth="8.7109375" defaultRowHeight="15" zeroHeight="1" x14ac:dyDescent="0.25"/>
  <cols>
    <col min="1" max="1" width="25.42578125" style="46" customWidth="1"/>
    <col min="2" max="2" width="17.42578125" style="46" customWidth="1"/>
    <col min="3" max="3" width="21.5703125" style="59" customWidth="1"/>
    <col min="4" max="4" width="20.85546875" style="59" customWidth="1"/>
    <col min="5" max="5" width="22.85546875" style="59" customWidth="1"/>
    <col min="6" max="6" width="9" style="2" hidden="1" customWidth="1"/>
    <col min="7" max="8" width="9" style="60" hidden="1" customWidth="1"/>
    <col min="9" max="10" width="9" style="46" hidden="1" customWidth="1"/>
    <col min="11" max="11" width="9" style="4" hidden="1" customWidth="1"/>
    <col min="12" max="12" width="9" style="46" hidden="1" customWidth="1"/>
    <col min="13" max="15" width="9" style="46" customWidth="1"/>
    <col min="16" max="16" width="8.7109375" style="46" customWidth="1"/>
    <col min="17" max="17" width="15.85546875" style="46" customWidth="1"/>
    <col min="18" max="30" width="8.7109375" style="46" customWidth="1"/>
    <col min="31" max="16384" width="8.7109375" style="1"/>
  </cols>
  <sheetData>
    <row r="1" spans="1:17" s="62" customFormat="1" ht="35.25" customHeight="1" x14ac:dyDescent="0.25">
      <c r="A1" s="67" t="s">
        <v>272</v>
      </c>
      <c r="D1" s="63"/>
      <c r="E1" s="64" t="str">
        <f>IF(A16=" ","Продолжить заполнение анкеты"," ")</f>
        <v xml:space="preserve"> </v>
      </c>
      <c r="F1" s="65" t="s">
        <v>6</v>
      </c>
      <c r="G1" s="66"/>
      <c r="H1" s="66"/>
    </row>
    <row r="2" spans="1:17" x14ac:dyDescent="0.25">
      <c r="F2" s="2" t="s">
        <v>8</v>
      </c>
    </row>
    <row r="3" spans="1:17" ht="15" customHeight="1" x14ac:dyDescent="0.25">
      <c r="A3" s="172" t="s">
        <v>273</v>
      </c>
      <c r="B3" s="155" t="s">
        <v>21</v>
      </c>
      <c r="C3" s="155"/>
      <c r="D3" s="155"/>
      <c r="E3" s="68" t="s">
        <v>6</v>
      </c>
      <c r="G3" s="60">
        <f>SUM(H3:H13)</f>
        <v>0</v>
      </c>
      <c r="H3" s="60">
        <f t="shared" ref="H3:H12" si="0">IF(E3="-- выберите --",0,1)</f>
        <v>0</v>
      </c>
      <c r="I3" s="46">
        <f>IF(G3=0,0,1)</f>
        <v>0</v>
      </c>
      <c r="K3" s="4" t="str">
        <f>IF(G3=0,"Вы не указали специализацию компании - строка 3-13 вопрос №9"," ")</f>
        <v>Вы не указали специализацию компании - строка 3-13 вопрос №9</v>
      </c>
    </row>
    <row r="4" spans="1:17" ht="15" customHeight="1" x14ac:dyDescent="0.25">
      <c r="A4" s="172"/>
      <c r="B4" s="155" t="s">
        <v>23</v>
      </c>
      <c r="C4" s="155"/>
      <c r="D4" s="155"/>
      <c r="E4" s="68" t="s">
        <v>6</v>
      </c>
      <c r="F4" s="2" t="s">
        <v>134</v>
      </c>
      <c r="G4" s="46"/>
      <c r="H4" s="60">
        <f t="shared" si="0"/>
        <v>0</v>
      </c>
      <c r="J4" s="4"/>
    </row>
    <row r="5" spans="1:17" ht="15" customHeight="1" x14ac:dyDescent="0.25">
      <c r="A5" s="172"/>
      <c r="B5" s="155" t="s">
        <v>25</v>
      </c>
      <c r="C5" s="155"/>
      <c r="D5" s="155"/>
      <c r="E5" s="68" t="s">
        <v>6</v>
      </c>
      <c r="F5" s="2" t="str">
        <f t="shared" ref="F5:F14" si="1">B3</f>
        <v>Заказная разработка</v>
      </c>
      <c r="G5" s="46"/>
      <c r="H5" s="60">
        <f t="shared" si="0"/>
        <v>0</v>
      </c>
      <c r="J5" s="4"/>
    </row>
    <row r="6" spans="1:17" ht="15" customHeight="1" x14ac:dyDescent="0.25">
      <c r="A6" s="172"/>
      <c r="B6" s="155" t="s">
        <v>27</v>
      </c>
      <c r="C6" s="155"/>
      <c r="D6" s="155"/>
      <c r="E6" s="68" t="s">
        <v>6</v>
      </c>
      <c r="F6" s="2" t="str">
        <f t="shared" si="1"/>
        <v>Мобильные приложения</v>
      </c>
      <c r="H6" s="60">
        <f t="shared" si="0"/>
        <v>0</v>
      </c>
    </row>
    <row r="7" spans="1:17" ht="15" customHeight="1" x14ac:dyDescent="0.25">
      <c r="A7" s="172"/>
      <c r="B7" s="155" t="s">
        <v>29</v>
      </c>
      <c r="C7" s="155"/>
      <c r="D7" s="155"/>
      <c r="E7" s="68" t="s">
        <v>6</v>
      </c>
      <c r="F7" s="2" t="str">
        <f t="shared" si="1"/>
        <v>Разработка сайтов</v>
      </c>
      <c r="H7" s="60">
        <f t="shared" si="0"/>
        <v>0</v>
      </c>
    </row>
    <row r="8" spans="1:17" ht="15" customHeight="1" x14ac:dyDescent="0.25">
      <c r="A8" s="172"/>
      <c r="B8" s="155" t="s">
        <v>30</v>
      </c>
      <c r="C8" s="155"/>
      <c r="D8" s="155"/>
      <c r="E8" s="68" t="s">
        <v>6</v>
      </c>
      <c r="F8" s="2" t="str">
        <f t="shared" si="1"/>
        <v>Компьютерные игры</v>
      </c>
      <c r="H8" s="60">
        <f t="shared" si="0"/>
        <v>0</v>
      </c>
    </row>
    <row r="9" spans="1:17" ht="63.75" customHeight="1" x14ac:dyDescent="0.25">
      <c r="A9" s="172"/>
      <c r="B9" s="155" t="s">
        <v>31</v>
      </c>
      <c r="C9" s="155"/>
      <c r="D9" s="155"/>
      <c r="E9" s="68" t="s">
        <v>6</v>
      </c>
      <c r="F9" s="2" t="str">
        <f t="shared" si="1"/>
        <v>Встроенное ПО (в оборудование, устройства)</v>
      </c>
      <c r="H9" s="60">
        <f t="shared" si="0"/>
        <v>0</v>
      </c>
    </row>
    <row r="10" spans="1:17" ht="12.75" customHeight="1" x14ac:dyDescent="0.25">
      <c r="A10" s="172"/>
      <c r="B10" s="155" t="s">
        <v>33</v>
      </c>
      <c r="C10" s="155"/>
      <c r="D10" s="155"/>
      <c r="E10" s="68" t="s">
        <v>6</v>
      </c>
      <c r="F10" s="2" t="str">
        <f t="shared" si="1"/>
        <v>Навигационные системы и Геоинформационные системы (ГИС)</v>
      </c>
      <c r="H10" s="60">
        <f t="shared" si="0"/>
        <v>0</v>
      </c>
    </row>
    <row r="11" spans="1:17" ht="32.25" customHeight="1" x14ac:dyDescent="0.25">
      <c r="A11" s="172"/>
      <c r="B11" s="155" t="s">
        <v>35</v>
      </c>
      <c r="C11" s="155"/>
      <c r="D11" s="155"/>
      <c r="E11" s="68" t="s">
        <v>6</v>
      </c>
      <c r="F11" s="2" t="str">
        <f t="shared" si="1"/>
        <v>Тиражируемые системы управления предприятием (учреждением), автоматизации документооборота, проектирования и производственного процесса (ERP, CRM, ECM, СЭД, САПР, АСУ ТП и другие)</v>
      </c>
      <c r="H11" s="60">
        <f t="shared" si="0"/>
        <v>0</v>
      </c>
    </row>
    <row r="12" spans="1:17" ht="15" customHeight="1" x14ac:dyDescent="0.25">
      <c r="A12" s="172"/>
      <c r="B12" s="155" t="s">
        <v>37</v>
      </c>
      <c r="C12" s="155"/>
      <c r="D12" s="155"/>
      <c r="E12" s="68" t="s">
        <v>6</v>
      </c>
      <c r="F12" s="2" t="str">
        <f t="shared" si="1"/>
        <v>Решения в сфере информационной безопасности</v>
      </c>
      <c r="H12" s="60">
        <f t="shared" si="0"/>
        <v>0</v>
      </c>
    </row>
    <row r="13" spans="1:17" ht="15" customHeight="1" x14ac:dyDescent="0.25">
      <c r="A13" s="172"/>
      <c r="B13" s="69" t="s">
        <v>38</v>
      </c>
      <c r="C13" s="196"/>
      <c r="D13" s="196"/>
      <c r="E13" s="70" t="s">
        <v>6</v>
      </c>
      <c r="F13" s="2" t="str">
        <f t="shared" si="1"/>
        <v>Разработка базового ПО (СУБД, ОС, офисные приложения, языки и инструменты программирования)</v>
      </c>
      <c r="H13" s="60">
        <f>SUM(I13:J13)</f>
        <v>0</v>
      </c>
      <c r="I13" s="46">
        <f>IF(C13=0,0,2)</f>
        <v>0</v>
      </c>
      <c r="J13" s="60">
        <f>IF(E13="-- выберите --",0,1)</f>
        <v>0</v>
      </c>
      <c r="K13" s="4" t="str">
        <f>IF(H13=1,"Вы ответили -ДА- в графе -ДРУГОЕ-, укажите особую специализацию в строке 13"," ")</f>
        <v xml:space="preserve"> </v>
      </c>
    </row>
    <row r="14" spans="1:17" ht="45.75" customHeight="1" x14ac:dyDescent="0.25">
      <c r="A14" s="71" t="s">
        <v>274</v>
      </c>
      <c r="B14" s="197" t="s">
        <v>134</v>
      </c>
      <c r="C14" s="197"/>
      <c r="D14" s="197"/>
      <c r="E14" s="197"/>
      <c r="F14" s="2" t="str">
        <f t="shared" si="1"/>
        <v>Проведение научных исследований</v>
      </c>
      <c r="H14" s="60">
        <f>IF(B14=F4,0,1)</f>
        <v>0</v>
      </c>
      <c r="K14" s="4" t="str">
        <f>IF(B14=F4,"Вы не выбрали основную специализацию в строке 14"," ")</f>
        <v>Вы не выбрали основную специализацию в строке 14</v>
      </c>
      <c r="P14" s="168"/>
      <c r="Q14" s="168"/>
    </row>
    <row r="15" spans="1:17" x14ac:dyDescent="0.25">
      <c r="F15" s="2" t="str">
        <f>CONCATENATE(B13," - ",C13)</f>
        <v xml:space="preserve">Другое - </v>
      </c>
    </row>
    <row r="16" spans="1:17" ht="15.75" customHeight="1" x14ac:dyDescent="0.25">
      <c r="A16" s="191" t="str">
        <f>IF(SUM(F17:F25)=0," ","Замечания по заполнению анкеты")</f>
        <v>Замечания по заполнению анкеты</v>
      </c>
      <c r="B16" s="191"/>
      <c r="C16" s="191"/>
      <c r="D16" s="191"/>
      <c r="E16" s="191"/>
    </row>
    <row r="17" spans="1:6" x14ac:dyDescent="0.25">
      <c r="A17" s="41" t="str">
        <f>K3</f>
        <v>Вы не указали специализацию компании - строка 3-13 вопрос №9</v>
      </c>
      <c r="B17" s="41"/>
      <c r="C17" s="42"/>
      <c r="D17" s="42"/>
      <c r="E17" s="42"/>
      <c r="F17" s="2">
        <f>IF(A17=" ",0,1)</f>
        <v>1</v>
      </c>
    </row>
    <row r="18" spans="1:6" x14ac:dyDescent="0.25">
      <c r="A18" s="41" t="str">
        <f>K13</f>
        <v xml:space="preserve"> </v>
      </c>
      <c r="B18" s="41"/>
      <c r="C18" s="42"/>
      <c r="D18" s="42"/>
      <c r="E18" s="42"/>
      <c r="F18" s="2">
        <f>IF(A18=" ",0,1)</f>
        <v>0</v>
      </c>
    </row>
    <row r="19" spans="1:6" x14ac:dyDescent="0.25">
      <c r="A19" s="41" t="str">
        <f>K14</f>
        <v>Вы не выбрали основную специализацию в строке 14</v>
      </c>
      <c r="B19" s="26"/>
      <c r="C19" s="42"/>
      <c r="D19" s="42"/>
      <c r="E19" s="42"/>
      <c r="F19" s="2">
        <f>IF(A19=" ",0,1)</f>
        <v>1</v>
      </c>
    </row>
    <row r="20" spans="1:6" x14ac:dyDescent="0.25"/>
    <row r="21" spans="1:6" x14ac:dyDescent="0.25"/>
    <row r="22" spans="1:6" x14ac:dyDescent="0.25"/>
    <row r="23" spans="1:6" x14ac:dyDescent="0.25"/>
    <row r="24" spans="1:6" x14ac:dyDescent="0.25"/>
    <row r="25" spans="1:6" x14ac:dyDescent="0.25"/>
    <row r="26" spans="1:6" x14ac:dyDescent="0.25"/>
    <row r="27" spans="1:6" x14ac:dyDescent="0.25"/>
    <row r="28" spans="1:6" x14ac:dyDescent="0.25"/>
    <row r="29" spans="1:6" x14ac:dyDescent="0.25"/>
    <row r="30" spans="1:6" x14ac:dyDescent="0.25"/>
    <row r="31" spans="1:6" x14ac:dyDescent="0.25"/>
    <row r="32" spans="1:6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</sheetData>
  <sheetProtection selectLockedCells="1" selectUnlockedCells="1"/>
  <mergeCells count="15">
    <mergeCell ref="B7:D7"/>
    <mergeCell ref="B8:D8"/>
    <mergeCell ref="B9:D9"/>
    <mergeCell ref="B10:D10"/>
    <mergeCell ref="B11:D11"/>
    <mergeCell ref="B12:D12"/>
    <mergeCell ref="C13:D13"/>
    <mergeCell ref="B14:E14"/>
    <mergeCell ref="P14:Q14"/>
    <mergeCell ref="A16:E16"/>
    <mergeCell ref="A3:A13"/>
    <mergeCell ref="B3:D3"/>
    <mergeCell ref="B4:D4"/>
    <mergeCell ref="B5:D5"/>
    <mergeCell ref="B6:D6"/>
  </mergeCells>
  <conditionalFormatting sqref="C13:D13">
    <cfRule type="cellIs" dxfId="131" priority="1" stopIfTrue="1" operator="equal">
      <formula>0</formula>
    </cfRule>
    <cfRule type="cellIs" dxfId="130" priority="2" stopIfTrue="1" operator="equal">
      <formula>0</formula>
    </cfRule>
  </conditionalFormatting>
  <conditionalFormatting sqref="B14">
    <cfRule type="expression" dxfId="129" priority="3" stopIfTrue="1">
      <formula>NOT(ISERROR(SEARCH("выберите ",B14)))</formula>
    </cfRule>
  </conditionalFormatting>
  <conditionalFormatting sqref="A16">
    <cfRule type="expression" dxfId="128" priority="4" stopIfTrue="1">
      <formula>NOT(ISERROR(SEARCH("ДАЛЕЕ",A16)))</formula>
    </cfRule>
  </conditionalFormatting>
  <conditionalFormatting sqref="A16:E16">
    <cfRule type="expression" dxfId="127" priority="5" stopIfTrue="1">
      <formula>NOT(ISERROR(SEARCH("продолжить",A16)))</formula>
    </cfRule>
  </conditionalFormatting>
  <conditionalFormatting sqref="E3:E13">
    <cfRule type="expression" dxfId="126" priority="6" stopIfTrue="1">
      <formula>NOT(ISERROR(SEARCH("выберите",E3)))</formula>
    </cfRule>
  </conditionalFormatting>
  <conditionalFormatting sqref="E1">
    <cfRule type="expression" dxfId="125" priority="7" stopIfTrue="1">
      <formula>NOT(ISERROR(SEARCH("продолжить",E1)))</formula>
    </cfRule>
  </conditionalFormatting>
  <dataValidations count="2">
    <dataValidation type="list" operator="equal" allowBlank="1" showErrorMessage="1" errorTitle="Ошибка" error="Данные можно выбрать только из списка" sqref="E3:E13">
      <formula1>Выбор</formula1>
      <formula2>0</formula2>
    </dataValidation>
    <dataValidation type="list" operator="equal" allowBlank="1" showErrorMessage="1" sqref="B14">
      <formula1>Специализация</formula1>
      <formula2>0</formula2>
    </dataValidation>
  </dataValidations>
  <hyperlinks>
    <hyperlink ref="A1" location="описание!A6" display="Вернуться к описанию условий"/>
  </hyperlinks>
  <pageMargins left="0.51180555555555551" right="0.51180555555555551" top="0.74861111111111112" bottom="0.74861111111111112" header="0.31527777777777777" footer="0.31527777777777777"/>
  <pageSetup paperSize="9" scale="87" firstPageNumber="0" orientation="portrait" horizontalDpi="300" verticalDpi="300"/>
  <headerFooter alignWithMargins="0">
    <oddHeader>&amp;C&amp;"Calibri,Обычный"&amp;11Анкета 13-го ежегодного исследования рынка ПО</oddHeader>
    <oddFooter>&amp;C&amp;"Calibri,Обычный"&amp;11НП "РУССОФТ", 2016 год
стр.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AD529"/>
  <sheetViews>
    <sheetView zoomScaleSheetLayoutView="100" workbookViewId="0">
      <pane xSplit="14" ySplit="1" topLeftCell="O2" activePane="bottomRight" state="frozen"/>
      <selection pane="topRight" activeCell="O1" sqref="O1"/>
      <selection pane="bottomLeft" activeCell="A2" sqref="A2"/>
      <selection pane="bottomRight" activeCell="N22" sqref="N22"/>
    </sheetView>
  </sheetViews>
  <sheetFormatPr defaultColWidth="8.7109375" defaultRowHeight="15" zeroHeight="1" x14ac:dyDescent="0.25"/>
  <cols>
    <col min="1" max="1" width="25.42578125" style="46" customWidth="1"/>
    <col min="2" max="2" width="17.42578125" style="46" customWidth="1"/>
    <col min="3" max="3" width="21.5703125" style="59" customWidth="1"/>
    <col min="4" max="4" width="20.85546875" style="59" customWidth="1"/>
    <col min="5" max="5" width="22.85546875" style="59" customWidth="1"/>
    <col min="6" max="6" width="9" style="2" hidden="1" customWidth="1"/>
    <col min="7" max="8" width="9" style="60" hidden="1" customWidth="1"/>
    <col min="9" max="10" width="9" style="46" hidden="1" customWidth="1"/>
    <col min="11" max="11" width="9" style="4" hidden="1" customWidth="1"/>
    <col min="12" max="13" width="9" style="46" hidden="1" customWidth="1"/>
    <col min="14" max="15" width="9" style="46" customWidth="1"/>
    <col min="16" max="16" width="8.7109375" style="46" customWidth="1"/>
    <col min="17" max="17" width="15.85546875" style="46" customWidth="1"/>
    <col min="18" max="30" width="8.7109375" style="46" customWidth="1"/>
    <col min="31" max="16384" width="8.7109375" style="1"/>
  </cols>
  <sheetData>
    <row r="1" spans="1:11" s="62" customFormat="1" ht="35.25" customHeight="1" x14ac:dyDescent="0.25">
      <c r="A1" s="67" t="s">
        <v>272</v>
      </c>
      <c r="D1" s="63"/>
      <c r="E1" s="64" t="str">
        <f>IF(A24=" ","Продолжить заполнение анкеты"," ")</f>
        <v xml:space="preserve"> </v>
      </c>
      <c r="F1" s="2" t="s">
        <v>6</v>
      </c>
      <c r="G1" s="66"/>
      <c r="H1" s="66"/>
    </row>
    <row r="2" spans="1:11" x14ac:dyDescent="0.25">
      <c r="F2" s="2" t="s">
        <v>8</v>
      </c>
    </row>
    <row r="3" spans="1:11" ht="15" customHeight="1" x14ac:dyDescent="0.25">
      <c r="A3" s="156" t="s">
        <v>275</v>
      </c>
      <c r="B3" s="155" t="s">
        <v>276</v>
      </c>
      <c r="C3" s="155"/>
      <c r="D3" s="155"/>
      <c r="E3" s="68" t="s">
        <v>6</v>
      </c>
      <c r="F3" s="72"/>
      <c r="G3" s="60">
        <f>SUM(H3:H22)</f>
        <v>1</v>
      </c>
      <c r="H3" s="60">
        <f t="shared" ref="H3:H21" si="0">IF(E3="-- выберите --",0,1)</f>
        <v>0</v>
      </c>
      <c r="I3" s="46">
        <f>IF(G3=0,0,1)</f>
        <v>1</v>
      </c>
      <c r="K3" s="4" t="str">
        <f>IF(G3=0,"Вы не указали специализацию компании - строка 3-23 вопрос №11"," ")</f>
        <v xml:space="preserve"> </v>
      </c>
    </row>
    <row r="4" spans="1:11" ht="15" customHeight="1" x14ac:dyDescent="0.25">
      <c r="A4" s="156"/>
      <c r="B4" s="155" t="s">
        <v>277</v>
      </c>
      <c r="C4" s="155"/>
      <c r="D4" s="155"/>
      <c r="E4" s="68" t="s">
        <v>6</v>
      </c>
      <c r="F4" s="72"/>
      <c r="G4" s="46"/>
      <c r="H4" s="60">
        <f t="shared" si="0"/>
        <v>0</v>
      </c>
      <c r="J4" s="4"/>
    </row>
    <row r="5" spans="1:11" ht="15" customHeight="1" x14ac:dyDescent="0.25">
      <c r="A5" s="156"/>
      <c r="B5" s="155" t="s">
        <v>278</v>
      </c>
      <c r="C5" s="155"/>
      <c r="D5" s="155"/>
      <c r="E5" s="68" t="s">
        <v>6</v>
      </c>
      <c r="F5" s="72"/>
      <c r="G5" s="46"/>
      <c r="H5" s="60">
        <f t="shared" si="0"/>
        <v>0</v>
      </c>
      <c r="J5" s="4"/>
    </row>
    <row r="6" spans="1:11" ht="15" customHeight="1" x14ac:dyDescent="0.25">
      <c r="A6" s="156"/>
      <c r="B6" s="155" t="s">
        <v>279</v>
      </c>
      <c r="C6" s="155"/>
      <c r="D6" s="155"/>
      <c r="E6" s="68" t="s">
        <v>6</v>
      </c>
      <c r="F6" s="72"/>
      <c r="H6" s="60">
        <f t="shared" si="0"/>
        <v>0</v>
      </c>
    </row>
    <row r="7" spans="1:11" ht="15" customHeight="1" x14ac:dyDescent="0.25">
      <c r="A7" s="156"/>
      <c r="B7" s="155" t="s">
        <v>280</v>
      </c>
      <c r="C7" s="155"/>
      <c r="D7" s="155"/>
      <c r="E7" s="68" t="s">
        <v>6</v>
      </c>
      <c r="F7" s="72"/>
      <c r="H7" s="60">
        <f t="shared" si="0"/>
        <v>0</v>
      </c>
    </row>
    <row r="8" spans="1:11" ht="15" customHeight="1" x14ac:dyDescent="0.25">
      <c r="A8" s="156"/>
      <c r="B8" s="155" t="s">
        <v>281</v>
      </c>
      <c r="C8" s="155"/>
      <c r="D8" s="155"/>
      <c r="E8" s="68" t="s">
        <v>6</v>
      </c>
      <c r="F8" s="72"/>
      <c r="H8" s="60">
        <f t="shared" si="0"/>
        <v>0</v>
      </c>
    </row>
    <row r="9" spans="1:11" ht="15" customHeight="1" x14ac:dyDescent="0.25">
      <c r="A9" s="156"/>
      <c r="B9" s="155" t="s">
        <v>282</v>
      </c>
      <c r="C9" s="155"/>
      <c r="D9" s="155"/>
      <c r="E9" s="68" t="s">
        <v>6</v>
      </c>
      <c r="F9" s="72"/>
      <c r="H9" s="60">
        <f t="shared" si="0"/>
        <v>0</v>
      </c>
    </row>
    <row r="10" spans="1:11" ht="15" customHeight="1" x14ac:dyDescent="0.25">
      <c r="A10" s="156"/>
      <c r="B10" s="155" t="s">
        <v>283</v>
      </c>
      <c r="C10" s="155"/>
      <c r="D10" s="155"/>
      <c r="E10" s="68" t="s">
        <v>6</v>
      </c>
      <c r="F10" s="72"/>
      <c r="H10" s="60">
        <f t="shared" si="0"/>
        <v>0</v>
      </c>
    </row>
    <row r="11" spans="1:11" ht="15" customHeight="1" x14ac:dyDescent="0.25">
      <c r="A11" s="156"/>
      <c r="B11" s="155" t="s">
        <v>284</v>
      </c>
      <c r="C11" s="155"/>
      <c r="D11" s="155"/>
      <c r="E11" s="68" t="s">
        <v>6</v>
      </c>
      <c r="F11" s="72"/>
      <c r="H11" s="60">
        <f t="shared" si="0"/>
        <v>0</v>
      </c>
    </row>
    <row r="12" spans="1:11" ht="15" customHeight="1" x14ac:dyDescent="0.25">
      <c r="A12" s="156"/>
      <c r="B12" s="155" t="s">
        <v>285</v>
      </c>
      <c r="C12" s="155"/>
      <c r="D12" s="155"/>
      <c r="E12" s="68" t="s">
        <v>6</v>
      </c>
      <c r="F12" s="72"/>
      <c r="H12" s="60">
        <f t="shared" si="0"/>
        <v>0</v>
      </c>
    </row>
    <row r="13" spans="1:11" ht="15" customHeight="1" x14ac:dyDescent="0.25">
      <c r="A13" s="156"/>
      <c r="B13" s="155" t="s">
        <v>286</v>
      </c>
      <c r="C13" s="155"/>
      <c r="D13" s="155"/>
      <c r="E13" s="68" t="s">
        <v>6</v>
      </c>
      <c r="F13" s="72"/>
      <c r="H13" s="60">
        <f t="shared" si="0"/>
        <v>0</v>
      </c>
    </row>
    <row r="14" spans="1:11" ht="15" customHeight="1" x14ac:dyDescent="0.25">
      <c r="A14" s="156"/>
      <c r="B14" s="155" t="s">
        <v>287</v>
      </c>
      <c r="C14" s="155"/>
      <c r="D14" s="155"/>
      <c r="E14" s="68" t="s">
        <v>6</v>
      </c>
      <c r="F14" s="72"/>
      <c r="H14" s="60">
        <f t="shared" si="0"/>
        <v>0</v>
      </c>
    </row>
    <row r="15" spans="1:11" ht="15" customHeight="1" x14ac:dyDescent="0.25">
      <c r="A15" s="156"/>
      <c r="B15" s="155" t="s">
        <v>288</v>
      </c>
      <c r="C15" s="155"/>
      <c r="D15" s="155"/>
      <c r="E15" s="68" t="s">
        <v>6</v>
      </c>
      <c r="F15" s="72"/>
      <c r="H15" s="60">
        <f t="shared" si="0"/>
        <v>0</v>
      </c>
    </row>
    <row r="16" spans="1:11" ht="15" customHeight="1" x14ac:dyDescent="0.25">
      <c r="A16" s="156"/>
      <c r="B16" s="155" t="s">
        <v>289</v>
      </c>
      <c r="C16" s="155"/>
      <c r="D16" s="155"/>
      <c r="E16" s="68" t="s">
        <v>6</v>
      </c>
      <c r="F16" s="72"/>
      <c r="H16" s="60">
        <f t="shared" si="0"/>
        <v>0</v>
      </c>
    </row>
    <row r="17" spans="1:30" ht="15" customHeight="1" x14ac:dyDescent="0.25">
      <c r="A17" s="156"/>
      <c r="B17" s="155" t="s">
        <v>290</v>
      </c>
      <c r="C17" s="155"/>
      <c r="D17" s="155"/>
      <c r="E17" s="68" t="s">
        <v>6</v>
      </c>
      <c r="F17" s="72"/>
      <c r="H17" s="60">
        <f t="shared" si="0"/>
        <v>0</v>
      </c>
    </row>
    <row r="18" spans="1:30" ht="15" customHeight="1" x14ac:dyDescent="0.25">
      <c r="A18" s="156"/>
      <c r="B18" s="155" t="s">
        <v>291</v>
      </c>
      <c r="C18" s="155"/>
      <c r="D18" s="155"/>
      <c r="E18" s="68" t="s">
        <v>6</v>
      </c>
      <c r="F18" s="72"/>
      <c r="H18" s="60">
        <f t="shared" si="0"/>
        <v>0</v>
      </c>
    </row>
    <row r="19" spans="1:30" ht="15" customHeight="1" x14ac:dyDescent="0.25">
      <c r="A19" s="156"/>
      <c r="B19" s="155" t="s">
        <v>292</v>
      </c>
      <c r="C19" s="155"/>
      <c r="D19" s="155"/>
      <c r="E19" s="68" t="s">
        <v>6</v>
      </c>
      <c r="F19" s="72"/>
      <c r="H19" s="60">
        <f t="shared" si="0"/>
        <v>0</v>
      </c>
    </row>
    <row r="20" spans="1:30" ht="15" customHeight="1" x14ac:dyDescent="0.25">
      <c r="A20" s="156"/>
      <c r="B20" s="155" t="s">
        <v>293</v>
      </c>
      <c r="C20" s="155"/>
      <c r="D20" s="155"/>
      <c r="E20" s="68" t="s">
        <v>6</v>
      </c>
      <c r="F20" s="72"/>
      <c r="H20" s="60">
        <f t="shared" si="0"/>
        <v>0</v>
      </c>
    </row>
    <row r="21" spans="1:30" ht="15" customHeight="1" x14ac:dyDescent="0.25">
      <c r="A21" s="156"/>
      <c r="B21" s="155" t="s">
        <v>294</v>
      </c>
      <c r="C21" s="155"/>
      <c r="D21" s="155"/>
      <c r="E21" s="68" t="s">
        <v>6</v>
      </c>
      <c r="F21" s="72"/>
      <c r="H21" s="60">
        <f t="shared" si="0"/>
        <v>0</v>
      </c>
    </row>
    <row r="22" spans="1:30" ht="15" customHeight="1" x14ac:dyDescent="0.25">
      <c r="A22" s="156"/>
      <c r="B22" s="8" t="s">
        <v>38</v>
      </c>
      <c r="C22" s="198"/>
      <c r="D22" s="198"/>
      <c r="E22"/>
      <c r="H22" s="60">
        <f>SUM(I22:J22)</f>
        <v>1</v>
      </c>
      <c r="I22" s="46">
        <f>IF(C22=0,0,2)</f>
        <v>0</v>
      </c>
      <c r="J22" s="60">
        <f>IF(E22="-- выберите --",0,1)</f>
        <v>1</v>
      </c>
      <c r="K22" s="4" t="str">
        <f>IF(H22=1,"Вы ответили -ДА- в графе -ДРУГОЕ-, укажите особую деятельности в строке 22"," ")</f>
        <v>Вы ответили -ДА- в графе -ДРУГОЕ-, укажите особую деятельности в строке 22</v>
      </c>
    </row>
    <row r="23" spans="1:30" x14ac:dyDescent="0.25"/>
    <row r="24" spans="1:30" ht="15.75" x14ac:dyDescent="0.25">
      <c r="A24" s="191" t="str">
        <f>IF(SUM(F25:F33)=0," ","Замечания по заполнению анкеты")</f>
        <v>Замечания по заполнению анкеты</v>
      </c>
      <c r="B24" s="191"/>
      <c r="C24" s="191"/>
      <c r="D24" s="191"/>
      <c r="E24" s="191"/>
    </row>
    <row r="25" spans="1:30" s="3" customFormat="1" x14ac:dyDescent="0.25">
      <c r="A25" s="41" t="str">
        <f>K3</f>
        <v xml:space="preserve"> </v>
      </c>
      <c r="B25" s="41"/>
      <c r="C25" s="42"/>
      <c r="D25" s="42"/>
      <c r="E25" s="42"/>
      <c r="F25" s="2">
        <f>IF(A25=" ",0,1)</f>
        <v>0</v>
      </c>
      <c r="G25" s="60"/>
      <c r="H25" s="60"/>
      <c r="I25" s="46"/>
      <c r="J25" s="46"/>
      <c r="K25" s="4"/>
      <c r="L25" s="46"/>
      <c r="M25" s="46"/>
      <c r="N25" s="46"/>
      <c r="O25" s="46"/>
      <c r="P25" s="46"/>
      <c r="Q25" s="46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</row>
    <row r="26" spans="1:30" s="3" customFormat="1" x14ac:dyDescent="0.25">
      <c r="A26" s="41" t="str">
        <f>K22</f>
        <v>Вы ответили -ДА- в графе -ДРУГОЕ-, укажите особую деятельности в строке 22</v>
      </c>
      <c r="B26" s="41"/>
      <c r="C26" s="42"/>
      <c r="D26" s="42"/>
      <c r="E26" s="42"/>
      <c r="F26" s="2">
        <f>IF(A26=" ",0,1)</f>
        <v>1</v>
      </c>
      <c r="G26" s="60"/>
      <c r="H26" s="60"/>
      <c r="I26" s="46"/>
      <c r="J26" s="46"/>
      <c r="K26" s="4"/>
      <c r="L26" s="46"/>
      <c r="M26" s="46"/>
      <c r="N26" s="46"/>
      <c r="O26" s="46"/>
      <c r="P26" s="46"/>
      <c r="Q26" s="46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</row>
    <row r="27" spans="1:30" x14ac:dyDescent="0.25"/>
    <row r="28" spans="1:30" x14ac:dyDescent="0.25"/>
    <row r="29" spans="1:30" x14ac:dyDescent="0.25"/>
    <row r="30" spans="1:30" x14ac:dyDescent="0.25"/>
    <row r="31" spans="1:30" x14ac:dyDescent="0.25"/>
    <row r="32" spans="1:30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</sheetData>
  <sheetProtection selectLockedCells="1" selectUnlockedCells="1"/>
  <mergeCells count="22"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C22:D22"/>
    <mergeCell ref="A24:E24"/>
    <mergeCell ref="A3:A22"/>
    <mergeCell ref="B3:D3"/>
    <mergeCell ref="B4:D4"/>
    <mergeCell ref="B5:D5"/>
  </mergeCells>
  <conditionalFormatting sqref="C22:D22">
    <cfRule type="cellIs" dxfId="124" priority="1" stopIfTrue="1" operator="equal">
      <formula>0</formula>
    </cfRule>
    <cfRule type="cellIs" dxfId="123" priority="2" stopIfTrue="1" operator="equal">
      <formula>0</formula>
    </cfRule>
  </conditionalFormatting>
  <conditionalFormatting sqref="A24">
    <cfRule type="expression" dxfId="122" priority="3" stopIfTrue="1">
      <formula>NOT(ISERROR(SEARCH("ДАЛЕЕ",A24)))</formula>
    </cfRule>
  </conditionalFormatting>
  <conditionalFormatting sqref="A24:E24">
    <cfRule type="expression" dxfId="121" priority="4" stopIfTrue="1">
      <formula>NOT(ISERROR(SEARCH("продолжить",A24)))</formula>
    </cfRule>
  </conditionalFormatting>
  <conditionalFormatting sqref="E3:E4">
    <cfRule type="expression" dxfId="120" priority="5" stopIfTrue="1">
      <formula>NOT(ISERROR(SEARCH("выберите",E3)))</formula>
    </cfRule>
  </conditionalFormatting>
  <conditionalFormatting sqref="E5:E21">
    <cfRule type="expression" dxfId="119" priority="6" stopIfTrue="1">
      <formula>NOT(ISERROR(SEARCH("выберите",E5)))</formula>
    </cfRule>
  </conditionalFormatting>
  <conditionalFormatting sqref="E1">
    <cfRule type="expression" dxfId="118" priority="7" stopIfTrue="1">
      <formula>NOT(ISERROR(SEARCH("продолжить",E1)))</formula>
    </cfRule>
  </conditionalFormatting>
  <dataValidations count="1">
    <dataValidation type="list" operator="equal" allowBlank="1" showErrorMessage="1" errorTitle="Ошибка" error="Данные можно выбрать только из списка" sqref="E3:E21">
      <formula1>Выбор</formula1>
      <formula2>0</formula2>
    </dataValidation>
  </dataValidations>
  <hyperlinks>
    <hyperlink ref="A1" location="описание!A6" display="Вернуться к описанию условий"/>
  </hyperlinks>
  <pageMargins left="0.51180555555555551" right="0.51180555555555551" top="0.74861111111111112" bottom="0.74861111111111112" header="0.31527777777777777" footer="0.31527777777777777"/>
  <pageSetup paperSize="9" scale="87" firstPageNumber="0" orientation="portrait" horizontalDpi="300" verticalDpi="300"/>
  <headerFooter alignWithMargins="0">
    <oddHeader>&amp;C&amp;"Calibri,Обычный"&amp;11Анкета 13-го ежегодного исследования рынка ПО</oddHeader>
    <oddFooter>&amp;C&amp;"Calibri,Обычный"&amp;11НП "РУССОФТ", 2016 год
стр.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AD495"/>
  <sheetViews>
    <sheetView zoomScaleSheetLayoutView="100" workbookViewId="0">
      <pane xSplit="11" ySplit="1" topLeftCell="L14" activePane="bottomRight" state="frozen"/>
      <selection pane="topRight" activeCell="L1" sqref="L1"/>
      <selection pane="bottomLeft" activeCell="A14" sqref="A14"/>
      <selection pane="bottomRight" activeCell="A4" sqref="A4"/>
    </sheetView>
  </sheetViews>
  <sheetFormatPr defaultColWidth="8.7109375" defaultRowHeight="15" zeroHeight="1" x14ac:dyDescent="0.25"/>
  <cols>
    <col min="1" max="1" width="25.42578125" style="46" customWidth="1"/>
    <col min="2" max="2" width="17.42578125" style="46" customWidth="1"/>
    <col min="3" max="3" width="21.5703125" style="59" customWidth="1"/>
    <col min="4" max="4" width="20.85546875" style="59" customWidth="1"/>
    <col min="5" max="5" width="22.85546875" style="59" customWidth="1"/>
    <col min="6" max="6" width="9" style="2" hidden="1" customWidth="1"/>
    <col min="7" max="8" width="9" style="60" hidden="1" customWidth="1"/>
    <col min="9" max="10" width="9" style="46" hidden="1" customWidth="1"/>
    <col min="11" max="11" width="9" style="4" hidden="1" customWidth="1"/>
    <col min="12" max="30" width="8.7109375" style="46" customWidth="1"/>
    <col min="31" max="16384" width="8.7109375" style="1"/>
  </cols>
  <sheetData>
    <row r="1" spans="1:11" s="62" customFormat="1" ht="35.25" customHeight="1" x14ac:dyDescent="0.25">
      <c r="A1" s="67" t="s">
        <v>272</v>
      </c>
      <c r="D1" s="63"/>
      <c r="E1" s="64" t="str">
        <f>IF(A39=" ","Продолжить заполнение анкеты"," ")</f>
        <v xml:space="preserve"> </v>
      </c>
      <c r="F1" s="65"/>
      <c r="G1" s="66"/>
      <c r="H1" s="66"/>
    </row>
    <row r="2" spans="1:11" x14ac:dyDescent="0.25"/>
    <row r="3" spans="1:11" ht="15" customHeight="1" x14ac:dyDescent="0.25">
      <c r="A3" s="195" t="s">
        <v>42</v>
      </c>
      <c r="B3" s="195"/>
      <c r="C3" s="195"/>
      <c r="D3" s="195"/>
      <c r="E3" s="195"/>
      <c r="F3" s="6"/>
    </row>
    <row r="4" spans="1:11" ht="44.25" customHeight="1" x14ac:dyDescent="0.25">
      <c r="A4" s="184" t="s">
        <v>295</v>
      </c>
      <c r="B4" s="184"/>
      <c r="C4" s="184"/>
      <c r="D4" s="184"/>
      <c r="E4" s="184"/>
      <c r="F4" s="6"/>
    </row>
    <row r="5" spans="1:11" ht="15" customHeight="1" x14ac:dyDescent="0.25">
      <c r="A5" s="182" t="s">
        <v>45</v>
      </c>
      <c r="B5" s="182"/>
      <c r="C5" s="10">
        <v>2018</v>
      </c>
      <c r="D5" s="11" t="s">
        <v>91</v>
      </c>
      <c r="E5" s="11">
        <v>2020</v>
      </c>
      <c r="F5" s="6"/>
    </row>
    <row r="6" spans="1:11" ht="45" x14ac:dyDescent="0.25">
      <c r="A6" s="182"/>
      <c r="B6" s="182"/>
      <c r="C6" s="10" t="s">
        <v>48</v>
      </c>
      <c r="D6" s="11" t="s">
        <v>49</v>
      </c>
      <c r="E6" s="11" t="s">
        <v>50</v>
      </c>
      <c r="F6" s="6"/>
    </row>
    <row r="7" spans="1:11" ht="15" customHeight="1" x14ac:dyDescent="0.25">
      <c r="A7" s="155" t="s">
        <v>51</v>
      </c>
      <c r="B7" s="155"/>
      <c r="C7" s="73"/>
      <c r="D7" s="74"/>
      <c r="E7" s="74"/>
      <c r="F7" s="6"/>
      <c r="G7" s="60">
        <v>2018</v>
      </c>
      <c r="H7" s="60">
        <f t="shared" ref="H7:H21" si="0">IF(C7=0,0,1)</f>
        <v>0</v>
      </c>
      <c r="I7" s="46">
        <f t="shared" ref="I7:I21" si="1">IF(D7=0,0,1)</f>
        <v>0</v>
      </c>
      <c r="J7" s="46">
        <f t="shared" ref="J7:J21" si="2">IF(E7=0,0,1)</f>
        <v>0</v>
      </c>
      <c r="K7" s="4" t="str">
        <f>IF(G15=0,"Вы не предоставили данные об удаленных центрах компании - строка 7-21 вопрос №12",IF(G15=3," ","Проверьте данные об удаленных центрах компании по всем трем периодам - строка 7-20 вопрос №12 (или подтвердите, что их нет - строка 21)"))</f>
        <v>Вы не предоставили данные об удаленных центрах компании - строка 7-21 вопрос №12</v>
      </c>
    </row>
    <row r="8" spans="1:11" ht="15" customHeight="1" x14ac:dyDescent="0.25">
      <c r="A8" s="155" t="s">
        <v>53</v>
      </c>
      <c r="B8" s="155"/>
      <c r="C8" s="73"/>
      <c r="D8" s="74"/>
      <c r="E8" s="74"/>
      <c r="F8" s="46"/>
      <c r="G8" s="60">
        <f>SUM(H7:H21)</f>
        <v>0</v>
      </c>
      <c r="H8" s="60">
        <f t="shared" si="0"/>
        <v>0</v>
      </c>
      <c r="I8" s="46">
        <f t="shared" si="1"/>
        <v>0</v>
      </c>
      <c r="J8" s="46">
        <f t="shared" si="2"/>
        <v>0</v>
      </c>
    </row>
    <row r="9" spans="1:11" ht="15" customHeight="1" x14ac:dyDescent="0.25">
      <c r="A9" s="155" t="s">
        <v>54</v>
      </c>
      <c r="B9" s="155"/>
      <c r="C9" s="73"/>
      <c r="D9" s="74"/>
      <c r="E9" s="74"/>
      <c r="F9" s="46"/>
      <c r="H9" s="60">
        <f t="shared" si="0"/>
        <v>0</v>
      </c>
      <c r="I9" s="46">
        <f t="shared" si="1"/>
        <v>0</v>
      </c>
      <c r="J9" s="46">
        <f t="shared" si="2"/>
        <v>0</v>
      </c>
    </row>
    <row r="10" spans="1:11" ht="15" customHeight="1" x14ac:dyDescent="0.25">
      <c r="A10" s="155" t="s">
        <v>56</v>
      </c>
      <c r="B10" s="155"/>
      <c r="C10" s="73"/>
      <c r="D10" s="74"/>
      <c r="E10" s="74"/>
      <c r="F10" s="46"/>
      <c r="G10" s="60">
        <v>2019</v>
      </c>
      <c r="H10" s="60">
        <f t="shared" si="0"/>
        <v>0</v>
      </c>
      <c r="I10" s="46">
        <f t="shared" si="1"/>
        <v>0</v>
      </c>
      <c r="J10" s="46">
        <f t="shared" si="2"/>
        <v>0</v>
      </c>
    </row>
    <row r="11" spans="1:11" ht="15" customHeight="1" x14ac:dyDescent="0.25">
      <c r="A11" s="155" t="s">
        <v>58</v>
      </c>
      <c r="B11" s="155"/>
      <c r="C11" s="73"/>
      <c r="D11" s="74"/>
      <c r="E11" s="74"/>
      <c r="F11" s="7"/>
      <c r="G11" s="60">
        <f>SUM(I7:I21)</f>
        <v>0</v>
      </c>
      <c r="H11" s="60">
        <f t="shared" si="0"/>
        <v>0</v>
      </c>
      <c r="I11" s="46">
        <f t="shared" si="1"/>
        <v>0</v>
      </c>
      <c r="J11" s="46">
        <f t="shared" si="2"/>
        <v>0</v>
      </c>
    </row>
    <row r="12" spans="1:11" ht="15" customHeight="1" x14ac:dyDescent="0.25">
      <c r="A12" s="155" t="s">
        <v>60</v>
      </c>
      <c r="B12" s="155"/>
      <c r="C12" s="73"/>
      <c r="D12" s="74"/>
      <c r="E12" s="74"/>
      <c r="F12" s="7"/>
      <c r="G12" s="60">
        <v>2020</v>
      </c>
      <c r="H12" s="60">
        <f t="shared" si="0"/>
        <v>0</v>
      </c>
      <c r="I12" s="46">
        <f t="shared" si="1"/>
        <v>0</v>
      </c>
      <c r="J12" s="46">
        <f t="shared" si="2"/>
        <v>0</v>
      </c>
    </row>
    <row r="13" spans="1:11" ht="15" customHeight="1" x14ac:dyDescent="0.25">
      <c r="A13" s="155" t="s">
        <v>61</v>
      </c>
      <c r="B13" s="155"/>
      <c r="C13" s="73"/>
      <c r="D13" s="74"/>
      <c r="E13" s="74"/>
      <c r="F13" s="7"/>
      <c r="G13" s="60">
        <f>SUM(J7:J21)</f>
        <v>0</v>
      </c>
      <c r="H13" s="60">
        <f t="shared" si="0"/>
        <v>0</v>
      </c>
      <c r="I13" s="46">
        <f t="shared" si="1"/>
        <v>0</v>
      </c>
      <c r="J13" s="46">
        <f t="shared" si="2"/>
        <v>0</v>
      </c>
    </row>
    <row r="14" spans="1:11" ht="15" customHeight="1" x14ac:dyDescent="0.25">
      <c r="A14" s="155" t="s">
        <v>62</v>
      </c>
      <c r="B14" s="155"/>
      <c r="C14" s="73"/>
      <c r="D14" s="74"/>
      <c r="E14" s="74"/>
      <c r="G14" s="60" t="s">
        <v>68</v>
      </c>
      <c r="H14" s="60">
        <f t="shared" si="0"/>
        <v>0</v>
      </c>
      <c r="I14" s="46">
        <f t="shared" si="1"/>
        <v>0</v>
      </c>
      <c r="J14" s="46">
        <f t="shared" si="2"/>
        <v>0</v>
      </c>
    </row>
    <row r="15" spans="1:11" ht="15" customHeight="1" x14ac:dyDescent="0.25">
      <c r="A15" s="155" t="s">
        <v>63</v>
      </c>
      <c r="B15" s="155"/>
      <c r="C15" s="73"/>
      <c r="D15" s="74"/>
      <c r="E15" s="74"/>
      <c r="G15" s="60">
        <f>G13+G11+G8</f>
        <v>0</v>
      </c>
      <c r="H15" s="60">
        <f t="shared" si="0"/>
        <v>0</v>
      </c>
      <c r="I15" s="46">
        <f t="shared" si="1"/>
        <v>0</v>
      </c>
      <c r="J15" s="46">
        <f t="shared" si="2"/>
        <v>0</v>
      </c>
    </row>
    <row r="16" spans="1:11" ht="15" customHeight="1" x14ac:dyDescent="0.25">
      <c r="A16" s="155" t="s">
        <v>64</v>
      </c>
      <c r="B16" s="155"/>
      <c r="C16" s="73"/>
      <c r="D16" s="74"/>
      <c r="E16" s="74"/>
      <c r="G16" s="46"/>
      <c r="H16" s="60">
        <f t="shared" si="0"/>
        <v>0</v>
      </c>
      <c r="I16" s="46">
        <f t="shared" si="1"/>
        <v>0</v>
      </c>
      <c r="J16" s="46">
        <f t="shared" si="2"/>
        <v>0</v>
      </c>
    </row>
    <row r="17" spans="1:11" ht="15" customHeight="1" x14ac:dyDescent="0.25">
      <c r="A17" s="155" t="s">
        <v>65</v>
      </c>
      <c r="B17" s="155"/>
      <c r="C17" s="73"/>
      <c r="D17" s="74"/>
      <c r="E17" s="74"/>
      <c r="F17" s="7"/>
      <c r="H17" s="60">
        <f t="shared" si="0"/>
        <v>0</v>
      </c>
      <c r="I17" s="46">
        <f t="shared" si="1"/>
        <v>0</v>
      </c>
      <c r="J17" s="46">
        <f t="shared" si="2"/>
        <v>0</v>
      </c>
    </row>
    <row r="18" spans="1:11" ht="15" customHeight="1" x14ac:dyDescent="0.25">
      <c r="A18" s="155" t="s">
        <v>67</v>
      </c>
      <c r="B18" s="155"/>
      <c r="C18" s="73"/>
      <c r="D18" s="74"/>
      <c r="E18" s="74"/>
      <c r="F18" s="6"/>
      <c r="G18" s="46"/>
      <c r="H18" s="60">
        <f t="shared" si="0"/>
        <v>0</v>
      </c>
      <c r="I18" s="46">
        <f t="shared" si="1"/>
        <v>0</v>
      </c>
      <c r="J18" s="46">
        <f t="shared" si="2"/>
        <v>0</v>
      </c>
    </row>
    <row r="19" spans="1:11" ht="15" customHeight="1" x14ac:dyDescent="0.25">
      <c r="A19" s="155" t="s">
        <v>69</v>
      </c>
      <c r="B19" s="155"/>
      <c r="C19" s="73"/>
      <c r="D19" s="74"/>
      <c r="E19" s="74"/>
      <c r="F19" s="7"/>
      <c r="G19" s="46"/>
      <c r="H19" s="60">
        <f t="shared" si="0"/>
        <v>0</v>
      </c>
      <c r="I19" s="46">
        <f t="shared" si="1"/>
        <v>0</v>
      </c>
      <c r="J19" s="46">
        <f t="shared" si="2"/>
        <v>0</v>
      </c>
    </row>
    <row r="20" spans="1:11" ht="15" customHeight="1" x14ac:dyDescent="0.25">
      <c r="A20" s="155" t="s">
        <v>71</v>
      </c>
      <c r="B20" s="155"/>
      <c r="C20" s="73"/>
      <c r="D20" s="74"/>
      <c r="E20" s="74"/>
      <c r="F20" s="7"/>
      <c r="H20" s="60">
        <f t="shared" si="0"/>
        <v>0</v>
      </c>
      <c r="I20" s="46">
        <f t="shared" si="1"/>
        <v>0</v>
      </c>
      <c r="J20" s="46">
        <f t="shared" si="2"/>
        <v>0</v>
      </c>
    </row>
    <row r="21" spans="1:11" ht="12.75" customHeight="1" x14ac:dyDescent="0.25">
      <c r="A21" s="180" t="s">
        <v>73</v>
      </c>
      <c r="B21" s="180"/>
      <c r="C21" s="73"/>
      <c r="D21" s="74"/>
      <c r="E21" s="74"/>
      <c r="F21" s="7"/>
      <c r="H21" s="60">
        <f t="shared" si="0"/>
        <v>0</v>
      </c>
      <c r="I21" s="46">
        <f t="shared" si="1"/>
        <v>0</v>
      </c>
      <c r="J21" s="46">
        <f t="shared" si="2"/>
        <v>0</v>
      </c>
    </row>
    <row r="22" spans="1:11" ht="29.25" customHeight="1" x14ac:dyDescent="0.25">
      <c r="A22" s="155" t="s">
        <v>296</v>
      </c>
      <c r="B22" s="155"/>
      <c r="C22" s="155"/>
      <c r="D22" s="155"/>
      <c r="E22" s="155"/>
      <c r="F22" s="6"/>
    </row>
    <row r="23" spans="1:11" s="78" customFormat="1" ht="12.75" customHeight="1" x14ac:dyDescent="0.25">
      <c r="A23" s="199" t="s">
        <v>88</v>
      </c>
      <c r="B23" s="199"/>
      <c r="C23" s="75" t="s">
        <v>297</v>
      </c>
      <c r="D23" s="75" t="s">
        <v>298</v>
      </c>
      <c r="E23" s="75" t="s">
        <v>299</v>
      </c>
      <c r="F23" s="76" t="s">
        <v>6</v>
      </c>
      <c r="G23" s="77"/>
      <c r="H23" s="77"/>
      <c r="K23" s="79"/>
    </row>
    <row r="24" spans="1:11" ht="15" customHeight="1" x14ac:dyDescent="0.25">
      <c r="A24" s="155" t="s">
        <v>51</v>
      </c>
      <c r="B24" s="155"/>
      <c r="C24" s="80" t="s">
        <v>6</v>
      </c>
      <c r="D24" s="81" t="s">
        <v>6</v>
      </c>
      <c r="E24" s="81" t="s">
        <v>6</v>
      </c>
      <c r="F24" s="2" t="s">
        <v>14</v>
      </c>
      <c r="G24" s="60">
        <v>2018</v>
      </c>
      <c r="H24" s="60">
        <f t="shared" ref="H24:H37" si="3">IF(C24="-- выберите --",0,1)</f>
        <v>0</v>
      </c>
      <c r="I24" s="60">
        <f t="shared" ref="I24:I37" si="4">IF(D24="-- выберите --",0,1)</f>
        <v>0</v>
      </c>
      <c r="J24" s="60">
        <f t="shared" ref="J24:J37" si="5">IF(E24="-- выберите --",0,1)</f>
        <v>0</v>
      </c>
      <c r="K24" s="4" t="str">
        <f>IF(G31=0,"Вы не предоставили данные о географии клиентов - строка 24-37 вопрос №13",IF(G31=3," ","Проверьте данные о географии клиентов по всем трем периодам - строка  24-37 вопрос №13"))</f>
        <v>Вы не предоставили данные о географии клиентов - строка 24-37 вопрос №13</v>
      </c>
    </row>
    <row r="25" spans="1:11" ht="15" customHeight="1" x14ac:dyDescent="0.25">
      <c r="A25" s="155" t="s">
        <v>53</v>
      </c>
      <c r="B25" s="155"/>
      <c r="C25" s="80" t="s">
        <v>6</v>
      </c>
      <c r="D25" s="80" t="s">
        <v>6</v>
      </c>
      <c r="E25" s="81" t="s">
        <v>6</v>
      </c>
      <c r="F25" s="2" t="s">
        <v>16</v>
      </c>
      <c r="G25" s="60">
        <f>SUM(H24:H37)</f>
        <v>0</v>
      </c>
      <c r="H25" s="60">
        <f t="shared" si="3"/>
        <v>0</v>
      </c>
      <c r="I25" s="60">
        <f t="shared" si="4"/>
        <v>0</v>
      </c>
      <c r="J25" s="60">
        <f t="shared" si="5"/>
        <v>0</v>
      </c>
    </row>
    <row r="26" spans="1:11" ht="15" customHeight="1" x14ac:dyDescent="0.25">
      <c r="A26" s="155" t="s">
        <v>54</v>
      </c>
      <c r="B26" s="155"/>
      <c r="C26" s="80" t="s">
        <v>6</v>
      </c>
      <c r="D26" s="81" t="s">
        <v>6</v>
      </c>
      <c r="E26" s="81" t="s">
        <v>6</v>
      </c>
      <c r="G26" s="60">
        <v>2019</v>
      </c>
      <c r="H26" s="60">
        <f t="shared" si="3"/>
        <v>0</v>
      </c>
      <c r="I26" s="60">
        <f t="shared" si="4"/>
        <v>0</v>
      </c>
      <c r="J26" s="60">
        <f t="shared" si="5"/>
        <v>0</v>
      </c>
    </row>
    <row r="27" spans="1:11" ht="15" customHeight="1" x14ac:dyDescent="0.25">
      <c r="A27" s="155" t="s">
        <v>56</v>
      </c>
      <c r="B27" s="155"/>
      <c r="C27" s="80" t="s">
        <v>6</v>
      </c>
      <c r="D27" s="80" t="s">
        <v>6</v>
      </c>
      <c r="E27" s="80" t="s">
        <v>6</v>
      </c>
      <c r="G27" s="60">
        <f>SUM(I24:I37)</f>
        <v>0</v>
      </c>
      <c r="H27" s="60">
        <f t="shared" si="3"/>
        <v>0</v>
      </c>
      <c r="I27" s="60">
        <f t="shared" si="4"/>
        <v>0</v>
      </c>
      <c r="J27" s="60">
        <f t="shared" si="5"/>
        <v>0</v>
      </c>
    </row>
    <row r="28" spans="1:11" ht="15" customHeight="1" x14ac:dyDescent="0.25">
      <c r="A28" s="155" t="s">
        <v>58</v>
      </c>
      <c r="B28" s="155"/>
      <c r="C28" s="80" t="s">
        <v>6</v>
      </c>
      <c r="D28" s="80" t="s">
        <v>6</v>
      </c>
      <c r="E28" s="80" t="s">
        <v>6</v>
      </c>
      <c r="G28" s="60">
        <v>2020</v>
      </c>
      <c r="H28" s="60">
        <f t="shared" si="3"/>
        <v>0</v>
      </c>
      <c r="I28" s="60">
        <f t="shared" si="4"/>
        <v>0</v>
      </c>
      <c r="J28" s="60">
        <f t="shared" si="5"/>
        <v>0</v>
      </c>
    </row>
    <row r="29" spans="1:11" ht="15" customHeight="1" x14ac:dyDescent="0.25">
      <c r="A29" s="155" t="s">
        <v>60</v>
      </c>
      <c r="B29" s="155"/>
      <c r="C29" s="80" t="s">
        <v>6</v>
      </c>
      <c r="D29" s="80" t="s">
        <v>6</v>
      </c>
      <c r="E29" s="80" t="s">
        <v>6</v>
      </c>
      <c r="F29" s="6"/>
      <c r="G29" s="60">
        <f>SUM(J24:J37)</f>
        <v>0</v>
      </c>
      <c r="H29" s="60">
        <f t="shared" si="3"/>
        <v>0</v>
      </c>
      <c r="I29" s="60">
        <f t="shared" si="4"/>
        <v>0</v>
      </c>
      <c r="J29" s="60">
        <f t="shared" si="5"/>
        <v>0</v>
      </c>
    </row>
    <row r="30" spans="1:11" ht="15" customHeight="1" x14ac:dyDescent="0.25">
      <c r="A30" s="155" t="s">
        <v>61</v>
      </c>
      <c r="B30" s="155"/>
      <c r="C30" s="80" t="s">
        <v>6</v>
      </c>
      <c r="D30" s="80" t="s">
        <v>6</v>
      </c>
      <c r="E30" s="80" t="s">
        <v>6</v>
      </c>
      <c r="F30" s="6"/>
      <c r="G30" s="60" t="s">
        <v>68</v>
      </c>
      <c r="H30" s="60">
        <f t="shared" si="3"/>
        <v>0</v>
      </c>
      <c r="I30" s="60">
        <f t="shared" si="4"/>
        <v>0</v>
      </c>
      <c r="J30" s="60">
        <f t="shared" si="5"/>
        <v>0</v>
      </c>
    </row>
    <row r="31" spans="1:11" ht="15" customHeight="1" x14ac:dyDescent="0.25">
      <c r="A31" s="155" t="s">
        <v>62</v>
      </c>
      <c r="B31" s="155"/>
      <c r="C31" s="80" t="s">
        <v>6</v>
      </c>
      <c r="D31" s="80" t="s">
        <v>6</v>
      </c>
      <c r="E31" s="80" t="s">
        <v>6</v>
      </c>
      <c r="F31" s="6"/>
      <c r="G31" s="60">
        <f>G29+G27+G25</f>
        <v>0</v>
      </c>
      <c r="H31" s="60">
        <f t="shared" si="3"/>
        <v>0</v>
      </c>
      <c r="I31" s="60">
        <f t="shared" si="4"/>
        <v>0</v>
      </c>
      <c r="J31" s="60">
        <f t="shared" si="5"/>
        <v>0</v>
      </c>
    </row>
    <row r="32" spans="1:11" ht="15" customHeight="1" x14ac:dyDescent="0.25">
      <c r="A32" s="155" t="s">
        <v>63</v>
      </c>
      <c r="B32" s="155"/>
      <c r="C32" s="80" t="s">
        <v>6</v>
      </c>
      <c r="D32" s="80" t="s">
        <v>6</v>
      </c>
      <c r="E32" s="80" t="s">
        <v>6</v>
      </c>
      <c r="F32" s="6"/>
      <c r="G32" s="46"/>
      <c r="H32" s="60">
        <f t="shared" si="3"/>
        <v>0</v>
      </c>
      <c r="I32" s="60">
        <f t="shared" si="4"/>
        <v>0</v>
      </c>
      <c r="J32" s="60">
        <f t="shared" si="5"/>
        <v>0</v>
      </c>
    </row>
    <row r="33" spans="1:30" ht="15" customHeight="1" x14ac:dyDescent="0.25">
      <c r="A33" s="155" t="s">
        <v>64</v>
      </c>
      <c r="B33" s="155"/>
      <c r="C33" s="80" t="s">
        <v>6</v>
      </c>
      <c r="D33" s="80" t="s">
        <v>6</v>
      </c>
      <c r="E33" s="80" t="s">
        <v>6</v>
      </c>
      <c r="F33" s="6"/>
      <c r="H33" s="60">
        <f t="shared" si="3"/>
        <v>0</v>
      </c>
      <c r="I33" s="60">
        <f t="shared" si="4"/>
        <v>0</v>
      </c>
      <c r="J33" s="60">
        <f t="shared" si="5"/>
        <v>0</v>
      </c>
    </row>
    <row r="34" spans="1:30" ht="15" customHeight="1" x14ac:dyDescent="0.25">
      <c r="A34" s="155" t="s">
        <v>65</v>
      </c>
      <c r="B34" s="155"/>
      <c r="C34" s="80" t="s">
        <v>6</v>
      </c>
      <c r="D34" s="81" t="s">
        <v>6</v>
      </c>
      <c r="E34" s="81" t="s">
        <v>6</v>
      </c>
      <c r="F34" s="6"/>
      <c r="G34" s="46"/>
      <c r="H34" s="60">
        <f t="shared" si="3"/>
        <v>0</v>
      </c>
      <c r="I34" s="60">
        <f t="shared" si="4"/>
        <v>0</v>
      </c>
      <c r="J34" s="60">
        <f t="shared" si="5"/>
        <v>0</v>
      </c>
    </row>
    <row r="35" spans="1:30" ht="15" customHeight="1" x14ac:dyDescent="0.25">
      <c r="A35" s="155" t="s">
        <v>67</v>
      </c>
      <c r="B35" s="155"/>
      <c r="C35" s="80" t="s">
        <v>6</v>
      </c>
      <c r="D35" s="81" t="s">
        <v>6</v>
      </c>
      <c r="E35" s="81" t="s">
        <v>6</v>
      </c>
      <c r="F35" s="6"/>
      <c r="G35" s="46"/>
      <c r="H35" s="60">
        <f t="shared" si="3"/>
        <v>0</v>
      </c>
      <c r="I35" s="60">
        <f t="shared" si="4"/>
        <v>0</v>
      </c>
      <c r="J35" s="60">
        <f t="shared" si="5"/>
        <v>0</v>
      </c>
    </row>
    <row r="36" spans="1:30" ht="15" customHeight="1" x14ac:dyDescent="0.25">
      <c r="A36" s="155" t="s">
        <v>69</v>
      </c>
      <c r="B36" s="155"/>
      <c r="C36" s="80" t="s">
        <v>6</v>
      </c>
      <c r="D36" s="81" t="s">
        <v>6</v>
      </c>
      <c r="E36" s="81" t="s">
        <v>6</v>
      </c>
      <c r="F36" s="6"/>
      <c r="H36" s="60">
        <f t="shared" si="3"/>
        <v>0</v>
      </c>
      <c r="I36" s="60">
        <f t="shared" si="4"/>
        <v>0</v>
      </c>
      <c r="J36" s="60">
        <f t="shared" si="5"/>
        <v>0</v>
      </c>
    </row>
    <row r="37" spans="1:30" ht="15" customHeight="1" x14ac:dyDescent="0.25">
      <c r="A37" s="155" t="s">
        <v>71</v>
      </c>
      <c r="B37" s="155"/>
      <c r="C37" s="80" t="s">
        <v>6</v>
      </c>
      <c r="D37" s="81" t="s">
        <v>6</v>
      </c>
      <c r="E37" s="81" t="s">
        <v>6</v>
      </c>
      <c r="F37" s="6"/>
      <c r="H37" s="60">
        <f t="shared" si="3"/>
        <v>0</v>
      </c>
      <c r="I37" s="60">
        <f t="shared" si="4"/>
        <v>0</v>
      </c>
      <c r="J37" s="60">
        <f t="shared" si="5"/>
        <v>0</v>
      </c>
    </row>
    <row r="38" spans="1:30" x14ac:dyDescent="0.25"/>
    <row r="39" spans="1:30" ht="15.75" customHeight="1" x14ac:dyDescent="0.25">
      <c r="A39" s="191" t="str">
        <f>IF(SUM(F40:F41)=0," ","Замечания по заполнению анкеты")</f>
        <v>Замечания по заполнению анкеты</v>
      </c>
      <c r="B39" s="191"/>
      <c r="C39" s="191"/>
      <c r="D39" s="191"/>
      <c r="E39" s="191"/>
    </row>
    <row r="40" spans="1:30" s="3" customFormat="1" x14ac:dyDescent="0.25">
      <c r="A40" s="41" t="str">
        <f>K7</f>
        <v>Вы не предоставили данные об удаленных центрах компании - строка 7-21 вопрос №12</v>
      </c>
      <c r="B40" s="41"/>
      <c r="C40" s="42"/>
      <c r="D40" s="42"/>
      <c r="E40" s="42"/>
      <c r="F40" s="2">
        <f>IF(A40=" ",0,1)</f>
        <v>1</v>
      </c>
      <c r="G40" s="60"/>
      <c r="H40" s="60"/>
      <c r="I40" s="46"/>
      <c r="J40" s="46"/>
      <c r="K40" s="4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</row>
    <row r="41" spans="1:30" s="3" customFormat="1" x14ac:dyDescent="0.25">
      <c r="A41" s="41" t="str">
        <f>K24</f>
        <v>Вы не предоставили данные о географии клиентов - строка 24-37 вопрос №13</v>
      </c>
      <c r="B41" s="41"/>
      <c r="C41" s="42"/>
      <c r="D41" s="42"/>
      <c r="E41" s="42"/>
      <c r="F41" s="2">
        <f>IF(A41=" ",0,1)</f>
        <v>1</v>
      </c>
      <c r="G41" s="60"/>
      <c r="H41" s="60"/>
      <c r="I41" s="46"/>
      <c r="J41" s="46"/>
      <c r="K41" s="4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</row>
    <row r="42" spans="1:30" x14ac:dyDescent="0.25"/>
    <row r="43" spans="1:30" x14ac:dyDescent="0.25"/>
    <row r="44" spans="1:30" x14ac:dyDescent="0.25"/>
    <row r="45" spans="1:30" x14ac:dyDescent="0.25"/>
    <row r="46" spans="1:30" x14ac:dyDescent="0.25"/>
    <row r="47" spans="1:30" x14ac:dyDescent="0.25"/>
    <row r="48" spans="1:30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</sheetData>
  <sheetProtection selectLockedCells="1" selectUnlockedCells="1"/>
  <mergeCells count="35">
    <mergeCell ref="A3:E3"/>
    <mergeCell ref="A4:E4"/>
    <mergeCell ref="A5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33:B33"/>
    <mergeCell ref="A22:E22"/>
    <mergeCell ref="A23:B23"/>
    <mergeCell ref="A24:B24"/>
    <mergeCell ref="A25:B25"/>
    <mergeCell ref="A26:B26"/>
    <mergeCell ref="A27:B27"/>
    <mergeCell ref="A34:B34"/>
    <mergeCell ref="A35:B35"/>
    <mergeCell ref="A36:B36"/>
    <mergeCell ref="A37:B37"/>
    <mergeCell ref="A39:E39"/>
    <mergeCell ref="A28:B28"/>
    <mergeCell ref="A29:B29"/>
    <mergeCell ref="A30:B30"/>
    <mergeCell ref="A31:B31"/>
    <mergeCell ref="A32:B32"/>
  </mergeCells>
  <conditionalFormatting sqref="C7:E21">
    <cfRule type="cellIs" dxfId="117" priority="1" stopIfTrue="1" operator="equal">
      <formula>0</formula>
    </cfRule>
    <cfRule type="cellIs" dxfId="116" priority="2" stopIfTrue="1" operator="equal">
      <formula>0</formula>
    </cfRule>
  </conditionalFormatting>
  <conditionalFormatting sqref="A39">
    <cfRule type="expression" dxfId="115" priority="3" stopIfTrue="1">
      <formula>NOT(ISERROR(SEARCH("ДАЛЕЕ",A39)))</formula>
    </cfRule>
  </conditionalFormatting>
  <conditionalFormatting sqref="A39:E39">
    <cfRule type="expression" dxfId="114" priority="4" stopIfTrue="1">
      <formula>NOT(ISERROR(SEARCH("продолжить",A39)))</formula>
    </cfRule>
  </conditionalFormatting>
  <conditionalFormatting sqref="C24:E37">
    <cfRule type="cellIs" dxfId="113" priority="5" stopIfTrue="1" operator="equal">
      <formula>$F$23</formula>
    </cfRule>
  </conditionalFormatting>
  <conditionalFormatting sqref="E1">
    <cfRule type="expression" dxfId="112" priority="6" stopIfTrue="1">
      <formula>NOT(ISERROR(SEARCH("продолжить",E1)))</formula>
    </cfRule>
  </conditionalFormatting>
  <dataValidations count="1">
    <dataValidation type="list" operator="equal" allowBlank="1" showErrorMessage="1" sqref="C24:E37">
      <formula1>геогр</formula1>
      <formula2>0</formula2>
    </dataValidation>
  </dataValidations>
  <hyperlinks>
    <hyperlink ref="A1" location="описание!A6" display="Вернуться к описанию условий"/>
  </hyperlinks>
  <pageMargins left="0.51180555555555551" right="0.51180555555555551" top="0.74861111111111112" bottom="0.74861111111111112" header="0.31527777777777777" footer="0.31527777777777777"/>
  <pageSetup paperSize="9" scale="87" firstPageNumber="0" orientation="portrait" horizontalDpi="300" verticalDpi="300"/>
  <headerFooter alignWithMargins="0">
    <oddHeader>&amp;C&amp;"Calibri,Обычный"&amp;11Анкета 13-го ежегодного исследования рынка ПО</oddHeader>
    <oddFooter>&amp;C&amp;"Calibri,Обычный"&amp;11НП "РУССОФТ", 2016 год
стр. &amp;P из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AD496"/>
  <sheetViews>
    <sheetView zoomScaleSheetLayoutView="100" workbookViewId="0">
      <pane xSplit="10" ySplit="1" topLeftCell="K2" activePane="bottomRight" state="frozen"/>
      <selection pane="topRight" activeCell="K1" sqref="K1"/>
      <selection pane="bottomLeft" activeCell="A2" sqref="A2"/>
      <selection pane="bottomRight" activeCell="M4" sqref="M4"/>
    </sheetView>
  </sheetViews>
  <sheetFormatPr defaultColWidth="8.7109375" defaultRowHeight="15" zeroHeight="1" x14ac:dyDescent="0.25"/>
  <cols>
    <col min="1" max="1" width="25.42578125" style="46" customWidth="1"/>
    <col min="2" max="2" width="17.42578125" style="46" customWidth="1"/>
    <col min="3" max="3" width="21.140625" style="59" customWidth="1"/>
    <col min="4" max="4" width="23.5703125" style="59" customWidth="1"/>
    <col min="5" max="5" width="25" style="59" customWidth="1"/>
    <col min="6" max="6" width="9" style="2" hidden="1" customWidth="1"/>
    <col min="7" max="8" width="9" style="60" hidden="1" customWidth="1"/>
    <col min="9" max="10" width="9" style="46" hidden="1" customWidth="1"/>
    <col min="11" max="11" width="9" style="4" hidden="1" customWidth="1"/>
    <col min="12" max="30" width="8.7109375" style="46" customWidth="1"/>
    <col min="31" max="16384" width="8.7109375" style="1"/>
  </cols>
  <sheetData>
    <row r="1" spans="1:11" s="62" customFormat="1" ht="35.25" customHeight="1" x14ac:dyDescent="0.25">
      <c r="A1" s="67" t="s">
        <v>272</v>
      </c>
      <c r="D1" s="63"/>
      <c r="E1" s="64" t="str">
        <f>IF(A52=" ","Продолжить заполнение анкеты"," ")</f>
        <v xml:space="preserve"> </v>
      </c>
      <c r="F1" s="65"/>
      <c r="G1" s="66"/>
      <c r="H1" s="66"/>
    </row>
    <row r="2" spans="1:11" x14ac:dyDescent="0.25"/>
    <row r="3" spans="1:11" ht="15" customHeight="1" x14ac:dyDescent="0.25">
      <c r="A3" s="202" t="s">
        <v>100</v>
      </c>
      <c r="B3" s="202"/>
      <c r="C3" s="202"/>
      <c r="D3" s="202"/>
      <c r="E3" s="202"/>
    </row>
    <row r="4" spans="1:11" ht="34.5" customHeight="1" x14ac:dyDescent="0.25">
      <c r="A4" s="203" t="s">
        <v>300</v>
      </c>
      <c r="B4" s="203"/>
      <c r="C4" s="203"/>
      <c r="D4" s="204" t="s">
        <v>6</v>
      </c>
      <c r="E4" s="204"/>
      <c r="F4" s="2" t="s">
        <v>6</v>
      </c>
      <c r="H4" s="60">
        <f>IF(D4=F4,0,1)</f>
        <v>0</v>
      </c>
      <c r="I4" s="46">
        <f>H4+H5</f>
        <v>0</v>
      </c>
      <c r="K4" s="4" t="str">
        <f>IF(I4=0,"Вы не выбрали основной язык программирования в строке 4 вопрос №14"," ")</f>
        <v>Вы не выбрали основной язык программирования в строке 4 вопрос №14</v>
      </c>
    </row>
    <row r="5" spans="1:11" ht="22.5" customHeight="1" x14ac:dyDescent="0.25">
      <c r="A5" s="203"/>
      <c r="B5" s="203"/>
      <c r="C5" s="203"/>
      <c r="D5" s="82" t="s">
        <v>301</v>
      </c>
      <c r="E5" s="83"/>
      <c r="H5" s="60">
        <f>IF(E5=0,0,1)</f>
        <v>0</v>
      </c>
    </row>
    <row r="6" spans="1:11" ht="15.75" customHeight="1" x14ac:dyDescent="0.25">
      <c r="A6" s="176" t="s">
        <v>302</v>
      </c>
      <c r="B6" s="176"/>
      <c r="C6" s="177" t="s">
        <v>105</v>
      </c>
      <c r="D6" s="177"/>
      <c r="E6" s="84" t="s">
        <v>6</v>
      </c>
      <c r="F6" s="2" t="str">
        <f t="shared" ref="F6:F13" si="0">C6</f>
        <v xml:space="preserve">С </v>
      </c>
      <c r="G6" s="60">
        <f>SUM(H6:H14)</f>
        <v>1</v>
      </c>
      <c r="H6" s="60">
        <f t="shared" ref="H6:H13" si="1">IF(E6="-- выберите --",0,1)</f>
        <v>0</v>
      </c>
      <c r="K6" s="4" t="str">
        <f>IF(G6=0,"Вы не указали используемые языки программирования- строка 5-13 вопрос №15"," ")</f>
        <v xml:space="preserve"> </v>
      </c>
    </row>
    <row r="7" spans="1:11" ht="15" customHeight="1" x14ac:dyDescent="0.25">
      <c r="A7" s="176"/>
      <c r="B7" s="176"/>
      <c r="C7" s="177" t="s">
        <v>107</v>
      </c>
      <c r="D7" s="177"/>
      <c r="E7" s="85" t="s">
        <v>6</v>
      </c>
      <c r="F7" s="2" t="str">
        <f t="shared" si="0"/>
        <v xml:space="preserve">С++ </v>
      </c>
      <c r="H7" s="60">
        <f t="shared" si="1"/>
        <v>0</v>
      </c>
    </row>
    <row r="8" spans="1:11" ht="15" customHeight="1" x14ac:dyDescent="0.25">
      <c r="A8" s="176"/>
      <c r="B8" s="176"/>
      <c r="C8" s="177" t="s">
        <v>109</v>
      </c>
      <c r="D8" s="177"/>
      <c r="E8" s="85" t="s">
        <v>6</v>
      </c>
      <c r="F8" s="2" t="str">
        <f t="shared" si="0"/>
        <v xml:space="preserve">С# </v>
      </c>
      <c r="H8" s="60">
        <f t="shared" si="1"/>
        <v>0</v>
      </c>
    </row>
    <row r="9" spans="1:11" ht="15" customHeight="1" x14ac:dyDescent="0.25">
      <c r="A9" s="176"/>
      <c r="B9" s="176"/>
      <c r="C9" s="177" t="s">
        <v>111</v>
      </c>
      <c r="D9" s="177"/>
      <c r="E9" s="85" t="s">
        <v>6</v>
      </c>
      <c r="F9" s="2" t="str">
        <f t="shared" si="0"/>
        <v>Java</v>
      </c>
      <c r="H9" s="60">
        <f t="shared" si="1"/>
        <v>0</v>
      </c>
    </row>
    <row r="10" spans="1:11" ht="15" customHeight="1" x14ac:dyDescent="0.25">
      <c r="A10" s="176"/>
      <c r="B10" s="176"/>
      <c r="C10" s="177" t="s">
        <v>113</v>
      </c>
      <c r="D10" s="177"/>
      <c r="E10" s="85" t="s">
        <v>6</v>
      </c>
      <c r="F10" s="2" t="str">
        <f t="shared" si="0"/>
        <v xml:space="preserve">Delphi </v>
      </c>
      <c r="H10" s="60">
        <f t="shared" si="1"/>
        <v>0</v>
      </c>
    </row>
    <row r="11" spans="1:11" ht="15" customHeight="1" x14ac:dyDescent="0.25">
      <c r="A11" s="176"/>
      <c r="B11" s="176"/>
      <c r="C11" s="177" t="s">
        <v>115</v>
      </c>
      <c r="D11" s="177"/>
      <c r="E11" s="85" t="s">
        <v>6</v>
      </c>
      <c r="F11" s="2" t="str">
        <f t="shared" si="0"/>
        <v xml:space="preserve">.Net </v>
      </c>
      <c r="H11" s="60">
        <f t="shared" si="1"/>
        <v>0</v>
      </c>
    </row>
    <row r="12" spans="1:11" ht="15" customHeight="1" x14ac:dyDescent="0.25">
      <c r="A12" s="176"/>
      <c r="B12" s="176"/>
      <c r="C12" s="177" t="s">
        <v>116</v>
      </c>
      <c r="D12" s="177"/>
      <c r="E12" s="85" t="s">
        <v>6</v>
      </c>
      <c r="F12" s="2" t="str">
        <f t="shared" si="0"/>
        <v xml:space="preserve">PHP </v>
      </c>
      <c r="H12" s="60">
        <f t="shared" si="1"/>
        <v>0</v>
      </c>
    </row>
    <row r="13" spans="1:11" ht="15" customHeight="1" x14ac:dyDescent="0.25">
      <c r="A13" s="176"/>
      <c r="B13" s="176"/>
      <c r="C13" s="177" t="s">
        <v>118</v>
      </c>
      <c r="D13" s="177"/>
      <c r="E13" s="85" t="s">
        <v>6</v>
      </c>
      <c r="F13" s="2" t="str">
        <f t="shared" si="0"/>
        <v>HTML5 </v>
      </c>
      <c r="H13" s="60">
        <f t="shared" si="1"/>
        <v>0</v>
      </c>
    </row>
    <row r="14" spans="1:11" x14ac:dyDescent="0.25">
      <c r="A14" s="176"/>
      <c r="B14" s="176"/>
      <c r="C14" s="86" t="s">
        <v>303</v>
      </c>
      <c r="D14" s="201"/>
      <c r="E14" s="201"/>
      <c r="H14" s="60">
        <f>SUM(I14:J14)</f>
        <v>1</v>
      </c>
      <c r="I14" s="46">
        <f>IF(D14=0,0,2)</f>
        <v>0</v>
      </c>
      <c r="J14" s="60">
        <f>IF(E14="-- выберите --",0,1)</f>
        <v>1</v>
      </c>
      <c r="K14" s="4" t="str">
        <f>IF(H14=1,"Вы ответили -ДА- в графе -ДРУГОЕ-, укажите Ваш особый язык программирования в строке 13"," ")</f>
        <v>Вы ответили -ДА- в графе -ДРУГОЕ-, укажите Ваш особый язык программирования в строке 13</v>
      </c>
    </row>
    <row r="15" spans="1:11" ht="15" customHeight="1" x14ac:dyDescent="0.25">
      <c r="A15" s="156" t="s">
        <v>304</v>
      </c>
      <c r="B15" s="156"/>
      <c r="C15" s="175" t="s">
        <v>122</v>
      </c>
      <c r="D15" s="175"/>
      <c r="E15" s="85" t="s">
        <v>6</v>
      </c>
      <c r="G15" s="60">
        <f>SUM(H15:H22)</f>
        <v>1</v>
      </c>
      <c r="H15" s="60">
        <f t="shared" ref="H15:H20" si="2">IF(E15="-- выберите --",0,1)</f>
        <v>0</v>
      </c>
      <c r="K15" s="4" t="str">
        <f>IF(G15=0,"Вы не указали используемые инструментальные средства- строка 14-21 вопрос №16"," ")</f>
        <v xml:space="preserve"> </v>
      </c>
    </row>
    <row r="16" spans="1:11" ht="15" customHeight="1" x14ac:dyDescent="0.25">
      <c r="A16" s="156"/>
      <c r="B16" s="156"/>
      <c r="C16" s="175" t="s">
        <v>124</v>
      </c>
      <c r="D16" s="175"/>
      <c r="E16" s="85" t="s">
        <v>6</v>
      </c>
      <c r="H16" s="60">
        <f t="shared" si="2"/>
        <v>0</v>
      </c>
    </row>
    <row r="17" spans="1:11" ht="15" customHeight="1" x14ac:dyDescent="0.25">
      <c r="A17" s="156"/>
      <c r="B17" s="156"/>
      <c r="C17" s="175" t="s">
        <v>125</v>
      </c>
      <c r="D17" s="175"/>
      <c r="E17" s="85" t="s">
        <v>6</v>
      </c>
      <c r="H17" s="60">
        <f t="shared" si="2"/>
        <v>0</v>
      </c>
    </row>
    <row r="18" spans="1:11" ht="15" customHeight="1" x14ac:dyDescent="0.25">
      <c r="A18" s="156"/>
      <c r="B18" s="156"/>
      <c r="C18" s="175" t="s">
        <v>126</v>
      </c>
      <c r="D18" s="175"/>
      <c r="E18" s="85" t="s">
        <v>6</v>
      </c>
      <c r="H18" s="60">
        <f t="shared" si="2"/>
        <v>0</v>
      </c>
    </row>
    <row r="19" spans="1:11" ht="15" customHeight="1" x14ac:dyDescent="0.25">
      <c r="A19" s="156"/>
      <c r="B19" s="156"/>
      <c r="C19" s="175" t="s">
        <v>127</v>
      </c>
      <c r="D19" s="175"/>
      <c r="E19" s="85" t="s">
        <v>6</v>
      </c>
      <c r="H19" s="60">
        <f t="shared" si="2"/>
        <v>0</v>
      </c>
    </row>
    <row r="20" spans="1:11" ht="15" customHeight="1" x14ac:dyDescent="0.25">
      <c r="A20" s="156"/>
      <c r="B20" s="156"/>
      <c r="C20" s="175" t="s">
        <v>128</v>
      </c>
      <c r="D20" s="175"/>
      <c r="E20" s="85" t="s">
        <v>6</v>
      </c>
      <c r="F20" s="6"/>
      <c r="H20" s="60">
        <f t="shared" si="2"/>
        <v>0</v>
      </c>
    </row>
    <row r="21" spans="1:11" ht="15" customHeight="1" x14ac:dyDescent="0.25">
      <c r="A21" s="156"/>
      <c r="B21" s="156"/>
      <c r="C21" s="87" t="s">
        <v>303</v>
      </c>
      <c r="D21" s="200"/>
      <c r="E21" s="200"/>
      <c r="H21" s="60">
        <f>SUM(I21:J21)</f>
        <v>1</v>
      </c>
      <c r="I21" s="46">
        <f>IF(D21=0,0,2)</f>
        <v>0</v>
      </c>
      <c r="J21" s="60">
        <f>IF(E21="-- выберите --",0,1)</f>
        <v>1</v>
      </c>
      <c r="K21" s="4" t="str">
        <f>IF(H21=1,"Вы указали -ДА- в графе -ДРУГОЕ-, укажите свое инструментальное средство в строке 20"," ")</f>
        <v>Вы указали -ДА- в графе -ДРУГОЕ-, укажите свое инструментальное средство в строке 20</v>
      </c>
    </row>
    <row r="22" spans="1:11" ht="15" customHeight="1" x14ac:dyDescent="0.25">
      <c r="A22" s="156"/>
      <c r="B22" s="156"/>
      <c r="C22" s="174" t="s">
        <v>129</v>
      </c>
      <c r="D22" s="174"/>
      <c r="E22" s="85" t="s">
        <v>6</v>
      </c>
      <c r="F22" s="7"/>
      <c r="H22" s="60">
        <f t="shared" ref="H22:H32" si="3">IF(E22="-- выберите --",0,1)</f>
        <v>0</v>
      </c>
    </row>
    <row r="23" spans="1:11" ht="15.75" customHeight="1" x14ac:dyDescent="0.25">
      <c r="A23" s="156" t="s">
        <v>305</v>
      </c>
      <c r="B23" s="156"/>
      <c r="C23" s="171" t="s">
        <v>131</v>
      </c>
      <c r="D23" s="171"/>
      <c r="E23" s="85" t="s">
        <v>6</v>
      </c>
      <c r="F23" s="7"/>
      <c r="G23" s="60">
        <f>SUM(H23:H33)</f>
        <v>1</v>
      </c>
      <c r="H23" s="60">
        <f t="shared" si="3"/>
        <v>0</v>
      </c>
      <c r="K23" s="4" t="str">
        <f>IF(G23=0,"Вы не указали используемые ОС- строка 22-32 вопрос №17"," ")</f>
        <v xml:space="preserve"> </v>
      </c>
    </row>
    <row r="24" spans="1:11" ht="15" customHeight="1" x14ac:dyDescent="0.25">
      <c r="A24" s="156"/>
      <c r="B24" s="156"/>
      <c r="C24" s="171" t="s">
        <v>132</v>
      </c>
      <c r="D24" s="171"/>
      <c r="E24" s="85" t="s">
        <v>6</v>
      </c>
      <c r="F24" s="6"/>
      <c r="H24" s="60">
        <f t="shared" si="3"/>
        <v>0</v>
      </c>
    </row>
    <row r="25" spans="1:11" ht="15" customHeight="1" x14ac:dyDescent="0.25">
      <c r="A25" s="156"/>
      <c r="B25" s="156"/>
      <c r="C25" s="171" t="s">
        <v>133</v>
      </c>
      <c r="D25" s="171"/>
      <c r="E25" s="85" t="s">
        <v>6</v>
      </c>
      <c r="F25" s="6"/>
      <c r="H25" s="60">
        <f t="shared" si="3"/>
        <v>0</v>
      </c>
    </row>
    <row r="26" spans="1:11" ht="15" customHeight="1" x14ac:dyDescent="0.25">
      <c r="A26" s="156"/>
      <c r="B26" s="156"/>
      <c r="C26" s="171" t="s">
        <v>135</v>
      </c>
      <c r="D26" s="171"/>
      <c r="E26" s="85" t="s">
        <v>6</v>
      </c>
      <c r="F26" s="6"/>
      <c r="H26" s="60">
        <f t="shared" si="3"/>
        <v>0</v>
      </c>
    </row>
    <row r="27" spans="1:11" ht="15" customHeight="1" x14ac:dyDescent="0.25">
      <c r="A27" s="156"/>
      <c r="B27" s="156"/>
      <c r="C27" s="171" t="s">
        <v>136</v>
      </c>
      <c r="D27" s="171"/>
      <c r="E27" s="85" t="s">
        <v>6</v>
      </c>
      <c r="F27" s="6"/>
      <c r="H27" s="60">
        <f t="shared" si="3"/>
        <v>0</v>
      </c>
    </row>
    <row r="28" spans="1:11" ht="15" customHeight="1" x14ac:dyDescent="0.25">
      <c r="A28" s="156"/>
      <c r="B28" s="156"/>
      <c r="C28" s="171" t="s">
        <v>137</v>
      </c>
      <c r="D28" s="171"/>
      <c r="E28" s="85" t="s">
        <v>6</v>
      </c>
      <c r="F28" s="6"/>
      <c r="H28" s="60">
        <f t="shared" si="3"/>
        <v>0</v>
      </c>
    </row>
    <row r="29" spans="1:11" ht="15" customHeight="1" x14ac:dyDescent="0.25">
      <c r="A29" s="156"/>
      <c r="B29" s="156"/>
      <c r="C29" s="171" t="s">
        <v>138</v>
      </c>
      <c r="D29" s="171"/>
      <c r="E29" s="85" t="s">
        <v>6</v>
      </c>
      <c r="F29" s="6"/>
      <c r="H29" s="60">
        <f t="shared" si="3"/>
        <v>0</v>
      </c>
    </row>
    <row r="30" spans="1:11" ht="15" customHeight="1" x14ac:dyDescent="0.25">
      <c r="A30" s="156"/>
      <c r="B30" s="156"/>
      <c r="C30" s="171" t="s">
        <v>139</v>
      </c>
      <c r="D30" s="171"/>
      <c r="E30" s="85" t="s">
        <v>6</v>
      </c>
      <c r="F30" s="6"/>
      <c r="H30" s="60">
        <f t="shared" si="3"/>
        <v>0</v>
      </c>
    </row>
    <row r="31" spans="1:11" ht="15" customHeight="1" x14ac:dyDescent="0.25">
      <c r="A31" s="156"/>
      <c r="B31" s="156"/>
      <c r="C31" s="171" t="s">
        <v>140</v>
      </c>
      <c r="D31" s="171"/>
      <c r="E31" s="85" t="s">
        <v>6</v>
      </c>
      <c r="F31" s="6"/>
      <c r="H31" s="60">
        <f t="shared" si="3"/>
        <v>0</v>
      </c>
    </row>
    <row r="32" spans="1:11" ht="15" customHeight="1" x14ac:dyDescent="0.25">
      <c r="A32" s="156"/>
      <c r="B32" s="156"/>
      <c r="C32" s="171" t="s">
        <v>141</v>
      </c>
      <c r="D32" s="171"/>
      <c r="E32" s="85" t="s">
        <v>6</v>
      </c>
      <c r="F32" s="6"/>
      <c r="H32" s="60">
        <f t="shared" si="3"/>
        <v>0</v>
      </c>
    </row>
    <row r="33" spans="1:12" ht="17.25" customHeight="1" x14ac:dyDescent="0.25">
      <c r="A33" s="156"/>
      <c r="B33" s="156"/>
      <c r="C33" s="87" t="s">
        <v>303</v>
      </c>
      <c r="D33" s="200"/>
      <c r="E33" s="200"/>
      <c r="H33" s="60">
        <f>SUM(I33:J33)</f>
        <v>1</v>
      </c>
      <c r="I33" s="46">
        <f>IF(D33=0,0,2)</f>
        <v>0</v>
      </c>
      <c r="J33" s="60">
        <f>IF(E33="-- выберите --",0,1)</f>
        <v>1</v>
      </c>
      <c r="K33" s="4" t="str">
        <f>IF(H33=1,"Вы указали -ДА- в графе -ДРУГОЕ-, укажите Вашу ОС в строке 32"," ")</f>
        <v>Вы указали -ДА- в графе -ДРУГОЕ-, укажите Вашу ОС в строке 32</v>
      </c>
      <c r="L33" s="4" t="str">
        <f>IF(I33=1,"Вы указали -ДА- в графе -ДРУГОЕ-, укажите инструментальное средство в строке 20"," ")</f>
        <v xml:space="preserve"> </v>
      </c>
    </row>
    <row r="34" spans="1:12" ht="15" customHeight="1" x14ac:dyDescent="0.25">
      <c r="A34" s="156" t="s">
        <v>306</v>
      </c>
      <c r="B34" s="156"/>
      <c r="C34" s="171" t="s">
        <v>143</v>
      </c>
      <c r="D34" s="171"/>
      <c r="E34" s="85" t="s">
        <v>6</v>
      </c>
      <c r="F34" s="6"/>
      <c r="G34" s="60">
        <f>SUM(H34:H50)</f>
        <v>1</v>
      </c>
      <c r="H34" s="60">
        <f t="shared" ref="H34:H49" si="4">IF(E34="-- выберите --",0,1)</f>
        <v>0</v>
      </c>
      <c r="K34" s="4" t="str">
        <f>IF(G34=0,"Вы не указали используемые СУБД- строка 33-49 вопрос №18"," ")</f>
        <v xml:space="preserve"> </v>
      </c>
    </row>
    <row r="35" spans="1:12" ht="15" customHeight="1" x14ac:dyDescent="0.25">
      <c r="A35" s="156"/>
      <c r="B35" s="156"/>
      <c r="C35" s="171" t="s">
        <v>144</v>
      </c>
      <c r="D35" s="171"/>
      <c r="E35" s="85" t="s">
        <v>6</v>
      </c>
      <c r="F35" s="6"/>
      <c r="H35" s="60">
        <f t="shared" si="4"/>
        <v>0</v>
      </c>
    </row>
    <row r="36" spans="1:12" ht="15" customHeight="1" x14ac:dyDescent="0.25">
      <c r="A36" s="156"/>
      <c r="B36" s="156"/>
      <c r="C36" s="171" t="s">
        <v>145</v>
      </c>
      <c r="D36" s="171"/>
      <c r="E36" s="85" t="s">
        <v>6</v>
      </c>
      <c r="F36" s="7"/>
      <c r="G36" s="46"/>
      <c r="H36" s="60">
        <f t="shared" si="4"/>
        <v>0</v>
      </c>
    </row>
    <row r="37" spans="1:12" ht="15" customHeight="1" x14ac:dyDescent="0.25">
      <c r="A37" s="156"/>
      <c r="B37" s="156"/>
      <c r="C37" s="171" t="s">
        <v>146</v>
      </c>
      <c r="D37" s="171"/>
      <c r="E37" s="85" t="s">
        <v>6</v>
      </c>
      <c r="F37" s="7"/>
      <c r="H37" s="60">
        <f t="shared" si="4"/>
        <v>0</v>
      </c>
    </row>
    <row r="38" spans="1:12" ht="15" customHeight="1" x14ac:dyDescent="0.25">
      <c r="A38" s="156"/>
      <c r="B38" s="156"/>
      <c r="C38" s="171" t="s">
        <v>147</v>
      </c>
      <c r="D38" s="171"/>
      <c r="E38" s="85" t="s">
        <v>6</v>
      </c>
      <c r="H38" s="60">
        <f t="shared" si="4"/>
        <v>0</v>
      </c>
    </row>
    <row r="39" spans="1:12" ht="15" customHeight="1" x14ac:dyDescent="0.25">
      <c r="A39" s="156"/>
      <c r="B39" s="156"/>
      <c r="C39" s="171" t="s">
        <v>148</v>
      </c>
      <c r="D39" s="171"/>
      <c r="E39" s="85" t="s">
        <v>6</v>
      </c>
      <c r="H39" s="60">
        <f t="shared" si="4"/>
        <v>0</v>
      </c>
    </row>
    <row r="40" spans="1:12" ht="15" customHeight="1" x14ac:dyDescent="0.25">
      <c r="A40" s="156"/>
      <c r="B40" s="156"/>
      <c r="C40" s="171" t="s">
        <v>149</v>
      </c>
      <c r="D40" s="171"/>
      <c r="E40" s="85" t="s">
        <v>6</v>
      </c>
      <c r="H40" s="60">
        <f t="shared" si="4"/>
        <v>0</v>
      </c>
    </row>
    <row r="41" spans="1:12" ht="15" customHeight="1" x14ac:dyDescent="0.25">
      <c r="A41" s="156"/>
      <c r="B41" s="156"/>
      <c r="C41" s="171" t="s">
        <v>150</v>
      </c>
      <c r="D41" s="171"/>
      <c r="E41" s="85" t="s">
        <v>6</v>
      </c>
      <c r="F41" s="7"/>
      <c r="H41" s="60">
        <f t="shared" si="4"/>
        <v>0</v>
      </c>
    </row>
    <row r="42" spans="1:12" ht="15" customHeight="1" x14ac:dyDescent="0.25">
      <c r="A42" s="156"/>
      <c r="B42" s="156"/>
      <c r="C42" s="171" t="s">
        <v>151</v>
      </c>
      <c r="D42" s="171"/>
      <c r="E42" s="85" t="s">
        <v>6</v>
      </c>
      <c r="F42" s="6"/>
      <c r="H42" s="60">
        <f t="shared" si="4"/>
        <v>0</v>
      </c>
    </row>
    <row r="43" spans="1:12" ht="15" customHeight="1" x14ac:dyDescent="0.25">
      <c r="A43" s="156"/>
      <c r="B43" s="156"/>
      <c r="C43" s="171" t="s">
        <v>152</v>
      </c>
      <c r="D43" s="171"/>
      <c r="E43" s="85" t="s">
        <v>6</v>
      </c>
      <c r="F43" s="7"/>
      <c r="H43" s="60">
        <f t="shared" si="4"/>
        <v>0</v>
      </c>
    </row>
    <row r="44" spans="1:12" ht="15" customHeight="1" x14ac:dyDescent="0.25">
      <c r="A44" s="156"/>
      <c r="B44" s="156"/>
      <c r="C44" s="171" t="s">
        <v>153</v>
      </c>
      <c r="D44" s="171"/>
      <c r="E44" s="85" t="s">
        <v>6</v>
      </c>
      <c r="F44" s="7"/>
      <c r="H44" s="60">
        <f t="shared" si="4"/>
        <v>0</v>
      </c>
    </row>
    <row r="45" spans="1:12" ht="15" customHeight="1" x14ac:dyDescent="0.25">
      <c r="A45" s="156"/>
      <c r="B45" s="156"/>
      <c r="C45" s="171" t="s">
        <v>154</v>
      </c>
      <c r="D45" s="171"/>
      <c r="E45" s="85" t="s">
        <v>6</v>
      </c>
      <c r="F45" s="7"/>
      <c r="H45" s="60">
        <f t="shared" si="4"/>
        <v>0</v>
      </c>
    </row>
    <row r="46" spans="1:12" ht="15" customHeight="1" x14ac:dyDescent="0.25">
      <c r="A46" s="156"/>
      <c r="B46" s="156"/>
      <c r="C46" s="171" t="s">
        <v>155</v>
      </c>
      <c r="D46" s="171"/>
      <c r="E46" s="85" t="s">
        <v>6</v>
      </c>
      <c r="F46" s="7"/>
      <c r="H46" s="60">
        <f t="shared" si="4"/>
        <v>0</v>
      </c>
    </row>
    <row r="47" spans="1:12" ht="15" customHeight="1" x14ac:dyDescent="0.25">
      <c r="A47" s="156"/>
      <c r="B47" s="156"/>
      <c r="C47" s="171" t="s">
        <v>156</v>
      </c>
      <c r="D47" s="171"/>
      <c r="E47" s="85" t="s">
        <v>6</v>
      </c>
      <c r="F47" s="7"/>
      <c r="H47" s="60">
        <f t="shared" si="4"/>
        <v>0</v>
      </c>
    </row>
    <row r="48" spans="1:12" ht="15" customHeight="1" x14ac:dyDescent="0.25">
      <c r="A48" s="156"/>
      <c r="B48" s="156"/>
      <c r="C48" s="171" t="s">
        <v>157</v>
      </c>
      <c r="D48" s="171"/>
      <c r="E48" s="85" t="s">
        <v>6</v>
      </c>
      <c r="F48" s="7"/>
      <c r="H48" s="60">
        <f t="shared" si="4"/>
        <v>0</v>
      </c>
    </row>
    <row r="49" spans="1:13" ht="15" customHeight="1" x14ac:dyDescent="0.25">
      <c r="A49" s="156"/>
      <c r="B49" s="156"/>
      <c r="C49" s="171" t="s">
        <v>158</v>
      </c>
      <c r="D49" s="171"/>
      <c r="E49" s="85" t="s">
        <v>6</v>
      </c>
      <c r="H49" s="60">
        <f t="shared" si="4"/>
        <v>0</v>
      </c>
    </row>
    <row r="50" spans="1:13" x14ac:dyDescent="0.25">
      <c r="A50" s="156"/>
      <c r="B50" s="156"/>
      <c r="C50" s="87" t="s">
        <v>303</v>
      </c>
      <c r="D50" s="200"/>
      <c r="E50" s="200"/>
      <c r="H50" s="60">
        <f>SUM(I50:J50)</f>
        <v>1</v>
      </c>
      <c r="I50" s="46">
        <f>IF(D50=0,0,2)</f>
        <v>0</v>
      </c>
      <c r="J50" s="60">
        <f>IF(E50="-- выберите --",0,1)</f>
        <v>1</v>
      </c>
      <c r="K50" s="4" t="str">
        <f>IF(H50=1,"Вы указали -ДА- в графе -ДРУГОЕ-, укажите особую СУБД в строке 49"," ")</f>
        <v>Вы указали -ДА- в графе -ДРУГОЕ-, укажите особую СУБД в строке 49</v>
      </c>
      <c r="L50" s="4" t="str">
        <f>IF(I50=1,"Вы указали -ДА- в графе -ДРУГОЕ-, укажите инструментальное средство в строке 20"," ")</f>
        <v xml:space="preserve"> </v>
      </c>
    </row>
    <row r="51" spans="1:13" x14ac:dyDescent="0.25"/>
    <row r="52" spans="1:13" ht="15.75" customHeight="1" x14ac:dyDescent="0.25">
      <c r="A52" s="191" t="str">
        <f>IF(SUM(F53:F61)=0," ","Замечания по заполнению анкеты")</f>
        <v>Замечания по заполнению анкеты</v>
      </c>
      <c r="B52" s="191"/>
      <c r="C52" s="191"/>
      <c r="D52" s="191"/>
      <c r="E52" s="191"/>
    </row>
    <row r="53" spans="1:13" x14ac:dyDescent="0.25">
      <c r="A53" s="41" t="str">
        <f>K4</f>
        <v>Вы не выбрали основной язык программирования в строке 4 вопрос №14</v>
      </c>
      <c r="B53" s="41"/>
      <c r="C53" s="42"/>
      <c r="D53" s="42"/>
      <c r="E53" s="42"/>
      <c r="F53" s="2">
        <f t="shared" ref="F53:F61" si="5">IF(A53=" ",0,1)</f>
        <v>1</v>
      </c>
      <c r="L53" s="60"/>
      <c r="M53" s="60"/>
    </row>
    <row r="54" spans="1:13" x14ac:dyDescent="0.25">
      <c r="A54" s="41" t="str">
        <f>K6</f>
        <v xml:space="preserve"> </v>
      </c>
      <c r="B54" s="41"/>
      <c r="C54" s="42"/>
      <c r="D54" s="42"/>
      <c r="E54" s="42"/>
      <c r="F54" s="2">
        <f t="shared" si="5"/>
        <v>0</v>
      </c>
      <c r="L54" s="60"/>
      <c r="M54" s="60"/>
    </row>
    <row r="55" spans="1:13" x14ac:dyDescent="0.25">
      <c r="A55" s="41" t="str">
        <f>K14</f>
        <v>Вы ответили -ДА- в графе -ДРУГОЕ-, укажите Ваш особый язык программирования в строке 13</v>
      </c>
      <c r="F55" s="2">
        <f t="shared" si="5"/>
        <v>1</v>
      </c>
    </row>
    <row r="56" spans="1:13" x14ac:dyDescent="0.25">
      <c r="A56" s="41" t="str">
        <f>K15</f>
        <v xml:space="preserve"> </v>
      </c>
      <c r="F56" s="2">
        <f t="shared" si="5"/>
        <v>0</v>
      </c>
    </row>
    <row r="57" spans="1:13" x14ac:dyDescent="0.25">
      <c r="A57" s="41" t="str">
        <f>K21</f>
        <v>Вы указали -ДА- в графе -ДРУГОЕ-, укажите свое инструментальное средство в строке 20</v>
      </c>
      <c r="F57" s="2">
        <f t="shared" si="5"/>
        <v>1</v>
      </c>
    </row>
    <row r="58" spans="1:13" x14ac:dyDescent="0.25">
      <c r="A58" s="41" t="str">
        <f>K23</f>
        <v xml:space="preserve"> </v>
      </c>
      <c r="F58" s="2">
        <f t="shared" si="5"/>
        <v>0</v>
      </c>
    </row>
    <row r="59" spans="1:13" x14ac:dyDescent="0.25">
      <c r="A59" s="41" t="str">
        <f>K33</f>
        <v>Вы указали -ДА- в графе -ДРУГОЕ-, укажите Вашу ОС в строке 32</v>
      </c>
      <c r="F59" s="2">
        <f t="shared" si="5"/>
        <v>1</v>
      </c>
    </row>
    <row r="60" spans="1:13" x14ac:dyDescent="0.25">
      <c r="A60" s="41" t="str">
        <f>K34</f>
        <v xml:space="preserve"> </v>
      </c>
      <c r="F60" s="2">
        <f t="shared" si="5"/>
        <v>0</v>
      </c>
    </row>
    <row r="61" spans="1:13" x14ac:dyDescent="0.25">
      <c r="A61" s="41" t="str">
        <f>K50</f>
        <v>Вы указали -ДА- в графе -ДРУГОЕ-, укажите особую СУБД в строке 49</v>
      </c>
      <c r="F61" s="2">
        <f t="shared" si="5"/>
        <v>1</v>
      </c>
    </row>
    <row r="62" spans="1:13" x14ac:dyDescent="0.25"/>
    <row r="63" spans="1:13" x14ac:dyDescent="0.25"/>
    <row r="64" spans="1:13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</sheetData>
  <sheetProtection selectLockedCells="1" selectUnlockedCells="1"/>
  <mergeCells count="53">
    <mergeCell ref="A3:E3"/>
    <mergeCell ref="A4:C5"/>
    <mergeCell ref="D4:E4"/>
    <mergeCell ref="A6:B14"/>
    <mergeCell ref="C6:D6"/>
    <mergeCell ref="C7:D7"/>
    <mergeCell ref="C8:D8"/>
    <mergeCell ref="C9:D9"/>
    <mergeCell ref="C10:D10"/>
    <mergeCell ref="C11:D11"/>
    <mergeCell ref="C12:D12"/>
    <mergeCell ref="C13:D13"/>
    <mergeCell ref="D14:E14"/>
    <mergeCell ref="A15:B22"/>
    <mergeCell ref="C15:D15"/>
    <mergeCell ref="C16:D16"/>
    <mergeCell ref="C17:D17"/>
    <mergeCell ref="C18:D18"/>
    <mergeCell ref="C19:D19"/>
    <mergeCell ref="C20:D20"/>
    <mergeCell ref="D21:E21"/>
    <mergeCell ref="C22:D22"/>
    <mergeCell ref="A23:B33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D33:E33"/>
    <mergeCell ref="A34:B50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A52:E52"/>
    <mergeCell ref="C45:D45"/>
    <mergeCell ref="C46:D46"/>
    <mergeCell ref="C47:D47"/>
    <mergeCell ref="C48:D48"/>
    <mergeCell ref="C49:D49"/>
    <mergeCell ref="D50:E50"/>
  </mergeCells>
  <conditionalFormatting sqref="D14 D21 D33 D50">
    <cfRule type="cellIs" dxfId="111" priority="1" stopIfTrue="1" operator="equal">
      <formula>0</formula>
    </cfRule>
    <cfRule type="cellIs" dxfId="110" priority="2" stopIfTrue="1" operator="equal">
      <formula>0</formula>
    </cfRule>
  </conditionalFormatting>
  <conditionalFormatting sqref="A52">
    <cfRule type="expression" dxfId="109" priority="3" stopIfTrue="1">
      <formula>NOT(ISERROR(SEARCH("ДАЛЕЕ",A52)))</formula>
    </cfRule>
  </conditionalFormatting>
  <conditionalFormatting sqref="A52:E52">
    <cfRule type="expression" dxfId="108" priority="4" stopIfTrue="1">
      <formula>NOT(ISERROR(SEARCH("продолжить",A52)))</formula>
    </cfRule>
  </conditionalFormatting>
  <conditionalFormatting sqref="E34:E49 E6:E13 E15:E20 E22:E32">
    <cfRule type="cellIs" dxfId="107" priority="5" stopIfTrue="1" operator="equal">
      <formula>$F$4</formula>
    </cfRule>
    <cfRule type="cellIs" dxfId="106" priority="6" stopIfTrue="1" operator="equal">
      <formula>""--"выберите"--""</formula>
    </cfRule>
  </conditionalFormatting>
  <conditionalFormatting sqref="D4:E4">
    <cfRule type="cellIs" dxfId="105" priority="7" stopIfTrue="1" operator="equal">
      <formula>$F$4</formula>
    </cfRule>
    <cfRule type="cellIs" dxfId="104" priority="8" stopIfTrue="1" operator="equal">
      <formula>$F$4</formula>
    </cfRule>
  </conditionalFormatting>
  <conditionalFormatting sqref="D5">
    <cfRule type="cellIs" dxfId="103" priority="9" stopIfTrue="1" operator="equal">
      <formula>0</formula>
    </cfRule>
    <cfRule type="cellIs" dxfId="102" priority="10" stopIfTrue="1" operator="equal">
      <formula>0</formula>
    </cfRule>
  </conditionalFormatting>
  <conditionalFormatting sqref="E5">
    <cfRule type="cellIs" dxfId="101" priority="11" stopIfTrue="1" operator="equal">
      <formula>0</formula>
    </cfRule>
    <cfRule type="cellIs" dxfId="100" priority="12" stopIfTrue="1" operator="equal">
      <formula>0</formula>
    </cfRule>
  </conditionalFormatting>
  <conditionalFormatting sqref="E1">
    <cfRule type="expression" dxfId="99" priority="13" stopIfTrue="1">
      <formula>NOT(ISERROR(SEARCH("продолжить",E1)))</formula>
    </cfRule>
  </conditionalFormatting>
  <dataValidations count="2">
    <dataValidation type="list" operator="equal" allowBlank="1" showErrorMessage="1" sqref="D4:E4">
      <formula1>Языки</formula1>
      <formula2>0</formula2>
    </dataValidation>
    <dataValidation type="list" operator="equal" allowBlank="1" showErrorMessage="1" errorTitle="Ошибка" error="Данные можно выбрать только из списка" sqref="E6:E13 E15:E20 E22:E32 E34:E49">
      <formula1>Выбор</formula1>
      <formula2>0</formula2>
    </dataValidation>
  </dataValidations>
  <hyperlinks>
    <hyperlink ref="A1" location="описание!A6" display="Вернуться к описанию условий"/>
  </hyperlinks>
  <pageMargins left="0.51180555555555551" right="0.51180555555555551" top="0.74861111111111112" bottom="0.74861111111111112" header="0.31527777777777777" footer="0.31527777777777777"/>
  <pageSetup paperSize="9" scale="83" firstPageNumber="0" orientation="portrait" horizontalDpi="300" verticalDpi="300"/>
  <headerFooter alignWithMargins="0">
    <oddHeader>&amp;C&amp;"Calibri,Обычный"&amp;11Анкета 13-го ежегодного исследования рынка ПО</oddHeader>
    <oddFooter>&amp;C&amp;"Calibri,Обычный"&amp;11НП "РУССОФТ", 2016 год
стр. &amp;P из &amp;N</oddFooter>
  </headerFooter>
  <rowBreaks count="1" manualBreakCount="1">
    <brk id="3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AD500"/>
  <sheetViews>
    <sheetView zoomScaleSheetLayoutView="100" workbookViewId="0">
      <pane xSplit="12" ySplit="1" topLeftCell="M2" activePane="bottomRight" state="frozen"/>
      <selection pane="topRight" activeCell="M1" sqref="M1"/>
      <selection pane="bottomLeft" activeCell="A2" sqref="A2"/>
      <selection pane="bottomRight" activeCell="D12" sqref="D12"/>
    </sheetView>
  </sheetViews>
  <sheetFormatPr defaultColWidth="8.7109375" defaultRowHeight="15" zeroHeight="1" x14ac:dyDescent="0.25"/>
  <cols>
    <col min="1" max="1" width="25.42578125" style="46" customWidth="1"/>
    <col min="2" max="2" width="17.42578125" style="46" customWidth="1"/>
    <col min="3" max="3" width="21.5703125" style="59" customWidth="1"/>
    <col min="4" max="4" width="20.85546875" style="59" customWidth="1"/>
    <col min="5" max="5" width="22.85546875" style="59" customWidth="1"/>
    <col min="6" max="6" width="9" style="2" hidden="1" customWidth="1"/>
    <col min="7" max="7" width="15.85546875" style="46" hidden="1" customWidth="1"/>
    <col min="8" max="12" width="8.7109375" style="46" hidden="1" customWidth="1"/>
    <col min="13" max="30" width="8.7109375" style="46" customWidth="1"/>
    <col min="31" max="16384" width="8.7109375" style="1"/>
  </cols>
  <sheetData>
    <row r="1" spans="1:11" s="62" customFormat="1" ht="35.25" customHeight="1" x14ac:dyDescent="0.25">
      <c r="A1" s="67" t="s">
        <v>272</v>
      </c>
      <c r="D1" s="63"/>
      <c r="E1" s="64" t="str">
        <f>IF(A14=" ","Продолжить заполнение анкеты"," ")</f>
        <v xml:space="preserve"> </v>
      </c>
      <c r="F1" s="65"/>
      <c r="G1" s="66"/>
      <c r="H1" s="66"/>
    </row>
    <row r="2" spans="1:11" x14ac:dyDescent="0.25"/>
    <row r="3" spans="1:11" ht="15" customHeight="1" x14ac:dyDescent="0.25">
      <c r="A3" s="202" t="s">
        <v>307</v>
      </c>
      <c r="B3" s="202"/>
      <c r="C3" s="202"/>
      <c r="D3" s="202"/>
      <c r="E3" s="202"/>
    </row>
    <row r="4" spans="1:11" ht="15" customHeight="1" x14ac:dyDescent="0.25">
      <c r="A4" s="156" t="s">
        <v>308</v>
      </c>
      <c r="B4" s="156"/>
      <c r="C4" s="174" t="str">
        <f t="shared" ref="C4:C9" si="0">F4</f>
        <v>Зарплата</v>
      </c>
      <c r="D4" s="174"/>
      <c r="E4" s="88">
        <v>0</v>
      </c>
      <c r="F4" s="72" t="s">
        <v>309</v>
      </c>
      <c r="G4" s="6" t="s">
        <v>6</v>
      </c>
      <c r="H4" s="46">
        <v>4</v>
      </c>
      <c r="I4" s="46">
        <f t="shared" ref="I4:I9" si="1">IF(E4=0,0,1)</f>
        <v>0</v>
      </c>
      <c r="J4" s="46">
        <f t="shared" ref="J4:J9" si="2">IF(I4+I$11=0,0,1)</f>
        <v>0</v>
      </c>
    </row>
    <row r="5" spans="1:11" ht="15" customHeight="1" x14ac:dyDescent="0.25">
      <c r="A5" s="156"/>
      <c r="B5" s="156"/>
      <c r="C5" s="174" t="str">
        <f t="shared" si="0"/>
        <v>Телекоммуникационные услуги</v>
      </c>
      <c r="D5" s="174"/>
      <c r="E5" s="88">
        <v>0</v>
      </c>
      <c r="F5" s="72" t="s">
        <v>161</v>
      </c>
      <c r="G5" s="6" t="s">
        <v>52</v>
      </c>
      <c r="H5" s="46">
        <v>5</v>
      </c>
      <c r="I5" s="46">
        <f t="shared" si="1"/>
        <v>0</v>
      </c>
      <c r="J5" s="46">
        <f t="shared" si="2"/>
        <v>0</v>
      </c>
    </row>
    <row r="6" spans="1:11" ht="15" customHeight="1" x14ac:dyDescent="0.25">
      <c r="A6" s="156"/>
      <c r="B6" s="156"/>
      <c r="C6" s="174" t="str">
        <f t="shared" si="0"/>
        <v>Маркетинг</v>
      </c>
      <c r="D6" s="174"/>
      <c r="E6" s="88">
        <v>0</v>
      </c>
      <c r="F6" s="72" t="s">
        <v>163</v>
      </c>
      <c r="G6" s="6" t="s">
        <v>44</v>
      </c>
      <c r="H6" s="46">
        <v>6</v>
      </c>
      <c r="I6" s="46">
        <f t="shared" si="1"/>
        <v>0</v>
      </c>
      <c r="J6" s="46">
        <f t="shared" si="2"/>
        <v>0</v>
      </c>
    </row>
    <row r="7" spans="1:11" ht="15" customHeight="1" x14ac:dyDescent="0.25">
      <c r="A7" s="156"/>
      <c r="B7" s="156"/>
      <c r="C7" s="174" t="str">
        <f t="shared" si="0"/>
        <v>Аренда офисной площади</v>
      </c>
      <c r="D7" s="174"/>
      <c r="E7" s="88">
        <v>0</v>
      </c>
      <c r="F7" s="72" t="s">
        <v>164</v>
      </c>
      <c r="G7" s="6" t="s">
        <v>47</v>
      </c>
      <c r="H7" s="46">
        <v>7</v>
      </c>
      <c r="I7" s="46">
        <f t="shared" si="1"/>
        <v>0</v>
      </c>
      <c r="J7" s="46">
        <f t="shared" si="2"/>
        <v>0</v>
      </c>
    </row>
    <row r="8" spans="1:11" ht="15" customHeight="1" x14ac:dyDescent="0.25">
      <c r="A8" s="156"/>
      <c r="B8" s="156"/>
      <c r="C8" s="174" t="str">
        <f t="shared" si="0"/>
        <v>НИР</v>
      </c>
      <c r="D8" s="174"/>
      <c r="E8" s="88">
        <v>0</v>
      </c>
      <c r="F8" s="72" t="s">
        <v>165</v>
      </c>
      <c r="G8" s="6" t="s">
        <v>22</v>
      </c>
      <c r="H8" s="46">
        <v>8</v>
      </c>
      <c r="I8" s="46">
        <f t="shared" si="1"/>
        <v>0</v>
      </c>
      <c r="J8" s="46">
        <f t="shared" si="2"/>
        <v>0</v>
      </c>
    </row>
    <row r="9" spans="1:11" ht="15" customHeight="1" x14ac:dyDescent="0.25">
      <c r="A9" s="156"/>
      <c r="B9" s="156"/>
      <c r="C9" s="174" t="str">
        <f t="shared" si="0"/>
        <v>Другое</v>
      </c>
      <c r="D9" s="174"/>
      <c r="E9" s="88">
        <v>0</v>
      </c>
      <c r="F9" s="72" t="s">
        <v>38</v>
      </c>
      <c r="G9" s="6" t="s">
        <v>6</v>
      </c>
      <c r="H9" s="46">
        <v>9</v>
      </c>
      <c r="I9" s="46">
        <f t="shared" si="1"/>
        <v>0</v>
      </c>
      <c r="J9" s="46">
        <f t="shared" si="2"/>
        <v>0</v>
      </c>
    </row>
    <row r="10" spans="1:11" x14ac:dyDescent="0.25">
      <c r="A10" s="156"/>
      <c r="B10" s="156"/>
      <c r="E10" s="89" t="str">
        <f>IF(SUM(G10:H10)=1," ",CONCATENATE("надо 100% - итог ",J10," %"))</f>
        <v xml:space="preserve"> </v>
      </c>
      <c r="G10" s="60">
        <f>IF(J10=0,1,0)</f>
        <v>1</v>
      </c>
      <c r="H10" s="60">
        <f>IF(J10=100,1,0)</f>
        <v>0</v>
      </c>
      <c r="J10" s="46">
        <f>SUM(E4:E9)*100</f>
        <v>0</v>
      </c>
      <c r="K10" s="1"/>
    </row>
    <row r="11" spans="1:11" ht="15" customHeight="1" x14ac:dyDescent="0.25">
      <c r="A11" s="156"/>
      <c r="B11" s="156"/>
      <c r="C11" s="174" t="s">
        <v>310</v>
      </c>
      <c r="D11" s="174"/>
      <c r="E11" s="68" t="s">
        <v>6</v>
      </c>
      <c r="F11" s="46"/>
      <c r="G11" s="46" t="s">
        <v>8</v>
      </c>
      <c r="H11" s="46">
        <v>10</v>
      </c>
      <c r="I11" s="46">
        <f>IF(E11=G4,0,1)</f>
        <v>0</v>
      </c>
    </row>
    <row r="12" spans="1:11" ht="30.75" customHeight="1" x14ac:dyDescent="0.25">
      <c r="A12" s="156" t="s">
        <v>311</v>
      </c>
      <c r="B12" s="156"/>
      <c r="C12" s="156"/>
      <c r="D12" s="90" t="s">
        <v>6</v>
      </c>
      <c r="E12" s="88">
        <v>0</v>
      </c>
      <c r="H12" s="46">
        <v>11</v>
      </c>
      <c r="I12" s="46">
        <f>IF(D12=G4,0,1)</f>
        <v>0</v>
      </c>
      <c r="J12" s="46">
        <f>IF(E12=0,0,1)</f>
        <v>0</v>
      </c>
    </row>
    <row r="13" spans="1:11" x14ac:dyDescent="0.25">
      <c r="A13" s="41"/>
      <c r="I13" s="46">
        <f>IF(D12=G5,1,0)+IF(D12=G8,1,0)</f>
        <v>0</v>
      </c>
    </row>
    <row r="14" spans="1:11" ht="15.75" customHeight="1" x14ac:dyDescent="0.25">
      <c r="A14" s="191" t="str">
        <f>IF(SUM(F15:F24)=0," ","Замечания по заполнению анкеты")</f>
        <v>Замечания по заполнению анкеты</v>
      </c>
      <c r="B14" s="191"/>
      <c r="C14" s="191"/>
      <c r="D14" s="191"/>
      <c r="E14" s="191"/>
      <c r="H14" s="60"/>
      <c r="K14" s="4"/>
    </row>
    <row r="15" spans="1:11" ht="15.75" x14ac:dyDescent="0.25">
      <c r="A15" s="41" t="str">
        <f>IF(E10=" "," ",E10)</f>
        <v xml:space="preserve"> </v>
      </c>
      <c r="B15" s="91"/>
      <c r="C15" s="91"/>
      <c r="D15" s="91"/>
      <c r="E15" s="91"/>
      <c r="F15" s="2">
        <f t="shared" ref="F15:F23" si="3">IF(A15=" ",0,1)</f>
        <v>0</v>
      </c>
      <c r="H15" s="60"/>
      <c r="K15" s="4"/>
    </row>
    <row r="16" spans="1:11" x14ac:dyDescent="0.25">
      <c r="A16" s="41" t="str">
        <f t="shared" ref="A16:A21" si="4">IF(J$10=100," ",G16)</f>
        <v>Укажите % по статье - Зарплата, стр.4</v>
      </c>
      <c r="B16" s="41"/>
      <c r="C16" s="42"/>
      <c r="D16" s="42"/>
      <c r="E16" s="42"/>
      <c r="F16" s="2">
        <f t="shared" si="3"/>
        <v>1</v>
      </c>
      <c r="G16" s="92" t="str">
        <f>IF(J4=0,CONCATENATE("Укажите % по статье - ",F4,", стр.",H4)," ")</f>
        <v>Укажите % по статье - Зарплата, стр.4</v>
      </c>
      <c r="H16" s="60"/>
      <c r="K16" s="4"/>
    </row>
    <row r="17" spans="1:11" x14ac:dyDescent="0.25">
      <c r="A17" s="41" t="str">
        <f t="shared" si="4"/>
        <v>Укажите % по статье - Телекоммуникационные услуги, стр.5</v>
      </c>
      <c r="B17" s="41"/>
      <c r="C17" s="42"/>
      <c r="D17" s="42"/>
      <c r="E17" s="42"/>
      <c r="F17" s="2">
        <f t="shared" si="3"/>
        <v>1</v>
      </c>
      <c r="G17" s="92" t="str">
        <f>CONCATENATE("Укажите % по статье - ",F5,", стр.",H5)</f>
        <v>Укажите % по статье - Телекоммуникационные услуги, стр.5</v>
      </c>
      <c r="H17" s="60"/>
      <c r="K17" s="4"/>
    </row>
    <row r="18" spans="1:11" x14ac:dyDescent="0.25">
      <c r="A18" s="41" t="str">
        <f t="shared" si="4"/>
        <v>Укажите % по статье - Маркетинг, стр.6</v>
      </c>
      <c r="B18" s="26"/>
      <c r="C18" s="42"/>
      <c r="D18" s="42"/>
      <c r="E18" s="42"/>
      <c r="F18" s="2">
        <f t="shared" si="3"/>
        <v>1</v>
      </c>
      <c r="G18" s="92" t="str">
        <f>CONCATENATE("Укажите % по статье - ",F6,", стр.",H6)</f>
        <v>Укажите % по статье - Маркетинг, стр.6</v>
      </c>
      <c r="H18" s="60"/>
      <c r="K18" s="4"/>
    </row>
    <row r="19" spans="1:11" x14ac:dyDescent="0.25">
      <c r="A19" s="41" t="str">
        <f t="shared" si="4"/>
        <v>Укажите % по статье - Аренда офисной площади, стр.7</v>
      </c>
      <c r="F19" s="2">
        <f t="shared" si="3"/>
        <v>1</v>
      </c>
      <c r="G19" s="92" t="str">
        <f>CONCATENATE("Укажите % по статье - ",F7,", стр.",H7)</f>
        <v>Укажите % по статье - Аренда офисной площади, стр.7</v>
      </c>
    </row>
    <row r="20" spans="1:11" x14ac:dyDescent="0.25">
      <c r="A20" s="41" t="str">
        <f t="shared" si="4"/>
        <v>Укажите % по статье - НИР, стр.8</v>
      </c>
      <c r="F20" s="2">
        <f t="shared" si="3"/>
        <v>1</v>
      </c>
      <c r="G20" s="92" t="str">
        <f>CONCATENATE("Укажите % по статье - ",F8,", стр.",H8)</f>
        <v>Укажите % по статье - НИР, стр.8</v>
      </c>
    </row>
    <row r="21" spans="1:11" x14ac:dyDescent="0.25">
      <c r="A21" s="41" t="str">
        <f t="shared" si="4"/>
        <v>Укажите % по статье - Другое, стр.9</v>
      </c>
      <c r="F21" s="2">
        <f t="shared" si="3"/>
        <v>1</v>
      </c>
      <c r="G21" s="92" t="str">
        <f>CONCATENATE("Укажите % по статье - ",F9,", стр.",H9)</f>
        <v>Укажите % по статье - Другое, стр.9</v>
      </c>
    </row>
    <row r="22" spans="1:11" x14ac:dyDescent="0.25">
      <c r="A22" s="41" t="str">
        <f>IF(I12=1," ",G22)</f>
        <v>Уточните тип изменения стоимости аренды, стр 11</v>
      </c>
      <c r="F22" s="2">
        <f t="shared" si="3"/>
        <v>1</v>
      </c>
      <c r="G22" s="92" t="s">
        <v>312</v>
      </c>
    </row>
    <row r="23" spans="1:11" x14ac:dyDescent="0.25">
      <c r="A23" s="41" t="str">
        <f>IF(I13=1," ",G23)</f>
        <v>Уточните % изменения стоимости аренды, стр 11</v>
      </c>
      <c r="F23" s="2">
        <f t="shared" si="3"/>
        <v>1</v>
      </c>
      <c r="G23" s="92" t="str">
        <f>IF(J12=0,"Уточните % изменения стоимости аренды, стр 11"," ")</f>
        <v>Уточните % изменения стоимости аренды, стр 11</v>
      </c>
    </row>
    <row r="24" spans="1:11" x14ac:dyDescent="0.25"/>
    <row r="25" spans="1:11" x14ac:dyDescent="0.25"/>
    <row r="26" spans="1:11" x14ac:dyDescent="0.25"/>
    <row r="27" spans="1:11" x14ac:dyDescent="0.25"/>
    <row r="28" spans="1:11" x14ac:dyDescent="0.25"/>
    <row r="29" spans="1:11" x14ac:dyDescent="0.25"/>
    <row r="30" spans="1:11" x14ac:dyDescent="0.25"/>
    <row r="31" spans="1:11" x14ac:dyDescent="0.25"/>
    <row r="32" spans="1:11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</sheetData>
  <sheetProtection selectLockedCells="1" selectUnlockedCells="1"/>
  <mergeCells count="11">
    <mergeCell ref="C11:D11"/>
    <mergeCell ref="A12:C12"/>
    <mergeCell ref="A14:E14"/>
    <mergeCell ref="A3:E3"/>
    <mergeCell ref="A4:B11"/>
    <mergeCell ref="C4:D4"/>
    <mergeCell ref="C5:D5"/>
    <mergeCell ref="C6:D6"/>
    <mergeCell ref="C7:D7"/>
    <mergeCell ref="C8:D8"/>
    <mergeCell ref="C9:D9"/>
  </mergeCells>
  <conditionalFormatting sqref="D12">
    <cfRule type="expression" dxfId="98" priority="1" stopIfTrue="1">
      <formula>NOT(ISERROR(SEARCH("выберите --",D12)))</formula>
    </cfRule>
    <cfRule type="cellIs" dxfId="97" priority="2" stopIfTrue="1" operator="equal">
      <formula>$G$4</formula>
    </cfRule>
    <cfRule type="cellIs" dxfId="96" priority="3" stopIfTrue="1" operator="equal">
      <formula>0</formula>
    </cfRule>
  </conditionalFormatting>
  <conditionalFormatting sqref="E11 E4:E9">
    <cfRule type="cellIs" dxfId="95" priority="4" stopIfTrue="1" operator="equal">
      <formula>0</formula>
    </cfRule>
  </conditionalFormatting>
  <conditionalFormatting sqref="E11">
    <cfRule type="expression" dxfId="94" priority="5" stopIfTrue="1">
      <formula>NOT(ISERROR(SEARCH("выберите",E11)))</formula>
    </cfRule>
  </conditionalFormatting>
  <conditionalFormatting sqref="E12">
    <cfRule type="cellIs" dxfId="93" priority="6" stopIfTrue="1" operator="equal">
      <formula>0</formula>
    </cfRule>
  </conditionalFormatting>
  <conditionalFormatting sqref="E1">
    <cfRule type="expression" dxfId="92" priority="7" stopIfTrue="1">
      <formula>NOT(ISERROR(SEARCH("продолжить",E1)))</formula>
    </cfRule>
  </conditionalFormatting>
  <conditionalFormatting sqref="A14">
    <cfRule type="expression" dxfId="91" priority="8" stopIfTrue="1">
      <formula>NOT(ISERROR(SEARCH("ДАЛЕЕ",A14)))</formula>
    </cfRule>
  </conditionalFormatting>
  <conditionalFormatting sqref="A14:E14 B15:E15">
    <cfRule type="expression" dxfId="90" priority="9" stopIfTrue="1">
      <formula>NOT(ISERROR(SEARCH("продолжить",A14)))</formula>
    </cfRule>
  </conditionalFormatting>
  <dataValidations count="2">
    <dataValidation type="list" operator="equal" allowBlank="1" showErrorMessage="1" sqref="D12">
      <formula1>динамика</formula1>
      <formula2>0</formula2>
    </dataValidation>
    <dataValidation type="list" operator="equal" allowBlank="1" showErrorMessage="1" errorTitle="Ошибка" error="Данные можно выбрать только из списка" sqref="E11">
      <formula1>Выбор</formula1>
      <formula2>0</formula2>
    </dataValidation>
  </dataValidations>
  <hyperlinks>
    <hyperlink ref="A1" location="описание!A6" display="Вернуться к описанию условий"/>
  </hyperlinks>
  <pageMargins left="0.51180555555555551" right="0.51180555555555551" top="0.74861111111111112" bottom="0.74861111111111112" header="0.31527777777777777" footer="0.31527777777777777"/>
  <pageSetup paperSize="9" scale="87" firstPageNumber="0" orientation="portrait" horizontalDpi="300" verticalDpi="300"/>
  <headerFooter alignWithMargins="0">
    <oddHeader>&amp;C&amp;"Calibri,Обычный"&amp;11Анкета 13-го ежегодного исследования рынка ПО</oddHeader>
    <oddFooter>&amp;C&amp;"Calibri,Обычный"&amp;11НП "РУССОФТ", 2016 год
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56</vt:i4>
      </vt:variant>
    </vt:vector>
  </HeadingPairs>
  <TitlesOfParts>
    <vt:vector size="75" baseType="lpstr">
      <vt:lpstr>анкета</vt:lpstr>
      <vt:lpstr>описание</vt:lpstr>
      <vt:lpstr>справка</vt:lpstr>
      <vt:lpstr>1</vt:lpstr>
      <vt:lpstr>2</vt:lpstr>
      <vt:lpstr>3</vt:lpstr>
      <vt:lpstr>4</vt:lpstr>
      <vt:lpstr>5</vt:lpstr>
      <vt:lpstr>6</vt:lpstr>
      <vt:lpstr>7</vt:lpstr>
      <vt:lpstr>ВУЗ</vt:lpstr>
      <vt:lpstr>8</vt:lpstr>
      <vt:lpstr>9</vt:lpstr>
      <vt:lpstr>10</vt:lpstr>
      <vt:lpstr>11</vt:lpstr>
      <vt:lpstr>12</vt:lpstr>
      <vt:lpstr>13</vt:lpstr>
      <vt:lpstr>проверка</vt:lpstr>
      <vt:lpstr>свод  итог</vt:lpstr>
      <vt:lpstr>'10'!_xlnm_Print_Area</vt:lpstr>
      <vt:lpstr>'11'!_xlnm_Print_Area</vt:lpstr>
      <vt:lpstr>'12'!_xlnm_Print_Area</vt:lpstr>
      <vt:lpstr>'13'!_xlnm_Print_Area</vt:lpstr>
      <vt:lpstr>'2'!_xlnm_Print_Area</vt:lpstr>
      <vt:lpstr>'3'!_xlnm_Print_Area</vt:lpstr>
      <vt:lpstr>'5'!_xlnm_Print_Area</vt:lpstr>
      <vt:lpstr>'6'!_xlnm_Print_Area</vt:lpstr>
      <vt:lpstr>'7'!_xlnm_Print_Area</vt:lpstr>
      <vt:lpstr>'8'!_xlnm_Print_Area</vt:lpstr>
      <vt:lpstr>'9'!_xlnm_Print_Area</vt:lpstr>
      <vt:lpstr>анкета!_xlnm_Print_Area</vt:lpstr>
      <vt:lpstr>ВУЗ!_xlnm_Print_Area</vt:lpstr>
      <vt:lpstr>описание!_xlnm_Print_Area</vt:lpstr>
      <vt:lpstr>проверка!_xlnm_Print_Area</vt:lpstr>
      <vt:lpstr>описание!Excel_BuiltIn_Print_Area</vt:lpstr>
      <vt:lpstr>'10'!Print_Area</vt:lpstr>
      <vt:lpstr>'11'!Print_Area</vt:lpstr>
      <vt:lpstr>'12'!Print_Area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анкета!Print_Area</vt:lpstr>
      <vt:lpstr>ВУЗ!Print_Area</vt:lpstr>
      <vt:lpstr>описание!Print_Area</vt:lpstr>
      <vt:lpstr>проверка!Print_Area</vt:lpstr>
      <vt:lpstr>справка!Print_Area</vt:lpstr>
      <vt:lpstr>воздействие</vt:lpstr>
      <vt:lpstr>'2'!Выбор</vt:lpstr>
      <vt:lpstr>'3'!Выбор</vt:lpstr>
      <vt:lpstr>Выбор</vt:lpstr>
      <vt:lpstr>выручка</vt:lpstr>
      <vt:lpstr>геогр</vt:lpstr>
      <vt:lpstr>динамика</vt:lpstr>
      <vt:lpstr>динамика_лучше</vt:lpstr>
      <vt:lpstr>'4'!значимость</vt:lpstr>
      <vt:lpstr>'7'!значимость</vt:lpstr>
      <vt:lpstr>значимость</vt:lpstr>
      <vt:lpstr>Инвест2</vt:lpstr>
      <vt:lpstr>'8'!ИНВЕСТИЦИИ</vt:lpstr>
      <vt:lpstr>ВУЗ!ИНВЕСТИЦИИ</vt:lpstr>
      <vt:lpstr>ИНВЕСТИЦИИ</vt:lpstr>
      <vt:lpstr>модель</vt:lpstr>
      <vt:lpstr>офис_долл</vt:lpstr>
      <vt:lpstr>оценка</vt:lpstr>
      <vt:lpstr>'11'!приоритет</vt:lpstr>
      <vt:lpstr>приоритет</vt:lpstr>
      <vt:lpstr>проц</vt:lpstr>
      <vt:lpstr>'2'!Специализация</vt:lpstr>
      <vt:lpstr>цена</vt:lpstr>
      <vt:lpstr>'5'!Языки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</dc:creator>
  <cp:lastModifiedBy>Darya Patyutko</cp:lastModifiedBy>
  <dcterms:created xsi:type="dcterms:W3CDTF">2019-02-25T14:51:04Z</dcterms:created>
  <dcterms:modified xsi:type="dcterms:W3CDTF">2019-02-27T11:12:07Z</dcterms:modified>
</cp:coreProperties>
</file>